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K" sheetId="1" r:id="rId1"/>
    <sheet name="indiv." sheetId="2" r:id="rId2"/>
    <sheet name="Fin.voor" sheetId="3" r:id="rId3"/>
    <sheet name="VI voor" sheetId="4" r:id="rId4"/>
    <sheet name="V voor" sheetId="5" r:id="rId5"/>
    <sheet name="IV voor" sheetId="6" r:id="rId6"/>
    <sheet name="III voor" sheetId="7" r:id="rId7"/>
    <sheet name="II voor" sheetId="8" r:id="rId8"/>
    <sheet name="I voor" sheetId="9" r:id="rId9"/>
  </sheets>
  <definedNames>
    <definedName name="_xlnm.Print_Area" localSheetId="0">'VK'!$A$2:$R$157</definedName>
  </definedNames>
  <calcPr fullCalcOnLoad="1"/>
</workbook>
</file>

<file path=xl/sharedStrings.xml><?xml version="1.0" encoding="utf-8"?>
<sst xmlns="http://schemas.openxmlformats.org/spreadsheetml/2006/main" count="3076" uniqueCount="367">
  <si>
    <t>Võistkond</t>
  </si>
  <si>
    <t>1 SARI</t>
  </si>
  <si>
    <t>Vastane</t>
  </si>
  <si>
    <t>2 SARI</t>
  </si>
  <si>
    <t>3 SARI</t>
  </si>
  <si>
    <t>4 SARI</t>
  </si>
  <si>
    <t>5 SARI</t>
  </si>
  <si>
    <t>KOKKU</t>
  </si>
  <si>
    <t>Keskmine</t>
  </si>
  <si>
    <t>Mängijad</t>
  </si>
  <si>
    <t>Punkte</t>
  </si>
  <si>
    <t>Võidupunkt</t>
  </si>
  <si>
    <t>Võite</t>
  </si>
  <si>
    <t>AKAT 2</t>
  </si>
  <si>
    <t>LAJOS 1</t>
  </si>
  <si>
    <t>FEB</t>
  </si>
  <si>
    <t>MEHED</t>
  </si>
  <si>
    <t>Jrk.</t>
  </si>
  <si>
    <t>Võistleja</t>
  </si>
  <si>
    <t>I</t>
  </si>
  <si>
    <t xml:space="preserve">II </t>
  </si>
  <si>
    <t>III</t>
  </si>
  <si>
    <t>IV</t>
  </si>
  <si>
    <t>V</t>
  </si>
  <si>
    <t xml:space="preserve">VI </t>
  </si>
  <si>
    <t>Summa</t>
  </si>
  <si>
    <t>Lembit Tamm</t>
  </si>
  <si>
    <t>Ivo Mäe</t>
  </si>
  <si>
    <t>NAISED</t>
  </si>
  <si>
    <t>Larissa Vagel</t>
  </si>
  <si>
    <t>FIRMALIIGA</t>
  </si>
  <si>
    <t>*</t>
  </si>
  <si>
    <t>II</t>
  </si>
  <si>
    <t>VI</t>
  </si>
  <si>
    <t>sügis 2003</t>
  </si>
  <si>
    <t>FIRMALIIGA I voor  15.09.2003</t>
  </si>
  <si>
    <t>LATESTOIL</t>
  </si>
  <si>
    <t>VEST-WOOD 2</t>
  </si>
  <si>
    <t>FULL-TRADE</t>
  </si>
  <si>
    <t>HK</t>
  </si>
  <si>
    <t>Keskm.</t>
  </si>
  <si>
    <t>koos HK</t>
  </si>
  <si>
    <t>Kesk.</t>
  </si>
  <si>
    <t>puhas</t>
  </si>
  <si>
    <t>Hille Põld</t>
  </si>
  <si>
    <t>John Innos</t>
  </si>
  <si>
    <t>Kaidu Nõmmik</t>
  </si>
  <si>
    <t>Tiit Tiimus</t>
  </si>
  <si>
    <t>Merje Õun</t>
  </si>
  <si>
    <t>Margus Vahemets</t>
  </si>
  <si>
    <t>Viljar Aros</t>
  </si>
  <si>
    <t>Aire Aros</t>
  </si>
  <si>
    <t>Jaanus Bazaanov</t>
  </si>
  <si>
    <t>Aili Kaasik</t>
  </si>
  <si>
    <t>Mait Hein</t>
  </si>
  <si>
    <t>Tõnu Kruusmaa</t>
  </si>
  <si>
    <t>Peeter Kalda</t>
  </si>
  <si>
    <t>Margit Lööper</t>
  </si>
  <si>
    <t>Aivar Trasberg</t>
  </si>
  <si>
    <t>FULLTRADE</t>
  </si>
  <si>
    <t>I-HK</t>
  </si>
  <si>
    <t>II-HK</t>
  </si>
  <si>
    <t>III-HK</t>
  </si>
  <si>
    <t>IV-HK</t>
  </si>
  <si>
    <t>V-HK</t>
  </si>
  <si>
    <t>VI-HK</t>
  </si>
  <si>
    <t>Fulltrade</t>
  </si>
  <si>
    <t>Vest-Wood 2</t>
  </si>
  <si>
    <t>Lajos 1</t>
  </si>
  <si>
    <t>Latestoil</t>
  </si>
  <si>
    <t>Keskmine koos HK</t>
  </si>
  <si>
    <t>Keskmine ilma HK</t>
  </si>
  <si>
    <t>FIRMALIIGA I voor  16.09.2003</t>
  </si>
  <si>
    <t>KLG VIRU</t>
  </si>
  <si>
    <t>Vest-Wood 3</t>
  </si>
  <si>
    <t>LATER</t>
  </si>
  <si>
    <t>SADO</t>
  </si>
  <si>
    <t>PLANRAY</t>
  </si>
  <si>
    <t>Meistrid&amp;Margarita</t>
  </si>
  <si>
    <t>Meistrid&amp; Margarita</t>
  </si>
  <si>
    <t>Planray</t>
  </si>
  <si>
    <t>Margus Floren</t>
  </si>
  <si>
    <t>Tiia Kull</t>
  </si>
  <si>
    <t>Veiko Erm</t>
  </si>
  <si>
    <t>Jaak Strandberg</t>
  </si>
  <si>
    <t>Airis Naur</t>
  </si>
  <si>
    <t>Aivar Sobi</t>
  </si>
  <si>
    <t>Ülle Tihti</t>
  </si>
  <si>
    <t>Kaido Klaats</t>
  </si>
  <si>
    <t>Üllar Vaserik</t>
  </si>
  <si>
    <t>Ivo Vainola</t>
  </si>
  <si>
    <t>Leho Aros</t>
  </si>
  <si>
    <t>Hardi Pihlamäe</t>
  </si>
  <si>
    <t>Sirli Sang</t>
  </si>
  <si>
    <t>Rinno Lell</t>
  </si>
  <si>
    <t>Riho Korsten</t>
  </si>
  <si>
    <t>Kati Palmar</t>
  </si>
  <si>
    <t>Alar Tipner</t>
  </si>
  <si>
    <t>Liina Allak</t>
  </si>
  <si>
    <t>VEST-WOOD 3</t>
  </si>
  <si>
    <t>KLG Viru</t>
  </si>
  <si>
    <t>Later</t>
  </si>
  <si>
    <t>Sado</t>
  </si>
  <si>
    <t>Meistrid&amp;M</t>
  </si>
  <si>
    <t>FIRMALIIGA I voor  17.09.2003</t>
  </si>
  <si>
    <t>VERX</t>
  </si>
  <si>
    <t>UUS MAA</t>
  </si>
  <si>
    <t>ISOKUUL</t>
  </si>
  <si>
    <t>RAKTOOM</t>
  </si>
  <si>
    <t>Nordic Tsement</t>
  </si>
  <si>
    <t>Tapa Linnavalitsus</t>
  </si>
  <si>
    <t>Kesk. koos HK</t>
  </si>
  <si>
    <t>Eli Vainlo</t>
  </si>
  <si>
    <t>Raimo Papstel</t>
  </si>
  <si>
    <t>Ingmar Papstel</t>
  </si>
  <si>
    <t>Eha Neito</t>
  </si>
  <si>
    <t>Mihkel Eimla</t>
  </si>
  <si>
    <t>Hergi Vaga</t>
  </si>
  <si>
    <t>Meelis Toom</t>
  </si>
  <si>
    <t>Valli Lahme</t>
  </si>
  <si>
    <t>Aleksander Nikolajev</t>
  </si>
  <si>
    <t>Girt Preiss</t>
  </si>
  <si>
    <t>Raimo Koppel</t>
  </si>
  <si>
    <t>Kuno Rooba</t>
  </si>
  <si>
    <t>Kairi Maasen</t>
  </si>
  <si>
    <t>Mati Mitt</t>
  </si>
  <si>
    <t>Ave Toomel</t>
  </si>
  <si>
    <t>Jüri Eljas</t>
  </si>
  <si>
    <t>Raktoom</t>
  </si>
  <si>
    <t>Tõnu Kuhi</t>
  </si>
  <si>
    <t>Uus Maa</t>
  </si>
  <si>
    <t>Verx</t>
  </si>
  <si>
    <t>Isokuul</t>
  </si>
  <si>
    <t>Kaja Välja</t>
  </si>
  <si>
    <t>FIRMALIIGA I voor  18.09.2003</t>
  </si>
  <si>
    <t>LINNAKING</t>
  </si>
  <si>
    <t>EESTI ENERGIA</t>
  </si>
  <si>
    <t>AVR PROJEKT</t>
  </si>
  <si>
    <t>HOLST/ MALMBERG</t>
  </si>
  <si>
    <t>WIRU AUTO</t>
  </si>
  <si>
    <t>LAJOS 2</t>
  </si>
  <si>
    <t>Marius Möllits</t>
  </si>
  <si>
    <t>Pirjo Suviorg</t>
  </si>
  <si>
    <t>Mehis Krigul</t>
  </si>
  <si>
    <t>Lauri Pärna</t>
  </si>
  <si>
    <t>Mairit Dello</t>
  </si>
  <si>
    <t>Tõnis Kruusmaa</t>
  </si>
  <si>
    <t>Aleksandr Holst</t>
  </si>
  <si>
    <t>Birgit Videvik</t>
  </si>
  <si>
    <t>Jaan Malmberg</t>
  </si>
  <si>
    <t>Kristel Aas</t>
  </si>
  <si>
    <t>Veiko Kompus</t>
  </si>
  <si>
    <t>Andrus Retsold</t>
  </si>
  <si>
    <t>Rainer Lille</t>
  </si>
  <si>
    <t>Terje Paju</t>
  </si>
  <si>
    <t>Tõnu Paju</t>
  </si>
  <si>
    <t>Raul Kull</t>
  </si>
  <si>
    <t>Aivar Klaasen</t>
  </si>
  <si>
    <t>Kristi Kaasik</t>
  </si>
  <si>
    <t>Holst/Malmberg</t>
  </si>
  <si>
    <t>FIRMALIIGA  2003  Sügis</t>
  </si>
  <si>
    <t>Lajos 2</t>
  </si>
  <si>
    <t>Wiru Auto</t>
  </si>
  <si>
    <t>AVR Projekt</t>
  </si>
  <si>
    <t>Eesti Energia</t>
  </si>
  <si>
    <t>Linnaking</t>
  </si>
  <si>
    <t>FIRMALIIGA I voor  22.09.2003</t>
  </si>
  <si>
    <t>T.E.M.</t>
  </si>
  <si>
    <t>Mihkel Mosel</t>
  </si>
  <si>
    <t>Kairit Kruusimägi</t>
  </si>
  <si>
    <t>Tauno Arpo</t>
  </si>
  <si>
    <t>STIK</t>
  </si>
  <si>
    <t>A.E.J.</t>
  </si>
  <si>
    <t>Vest-Wood 1</t>
  </si>
  <si>
    <t>Värska Vesi</t>
  </si>
  <si>
    <t>TOODE</t>
  </si>
  <si>
    <t>Elmo Parksepp</t>
  </si>
  <si>
    <t>Hiie Lekko</t>
  </si>
  <si>
    <t>Indrek Lekko</t>
  </si>
  <si>
    <t>Andres Annula</t>
  </si>
  <si>
    <t>Janne Nukk</t>
  </si>
  <si>
    <t>Tõnis Reinula</t>
  </si>
  <si>
    <t>Mairold Maurus</t>
  </si>
  <si>
    <t>Ants Hartmann</t>
  </si>
  <si>
    <t>Heli Maurus</t>
  </si>
  <si>
    <t>Aigar Kink</t>
  </si>
  <si>
    <t>Elen Privoi</t>
  </si>
  <si>
    <t>Jaan Ruuto</t>
  </si>
  <si>
    <t>Silja Merelaid</t>
  </si>
  <si>
    <t>Sören Berthls</t>
  </si>
  <si>
    <t>Maarika Suursu</t>
  </si>
  <si>
    <t>VEST-WOOD 1</t>
  </si>
  <si>
    <t>VÄRSKA VESI</t>
  </si>
  <si>
    <t>A.E.J</t>
  </si>
  <si>
    <t>Sören Berthels</t>
  </si>
  <si>
    <t>Toode</t>
  </si>
  <si>
    <t>FIRMALIIGA I voor  23.09.2003</t>
  </si>
  <si>
    <t>NOOBEL</t>
  </si>
  <si>
    <t>MP AUTO</t>
  </si>
  <si>
    <t>ASSAR LUKUAUK</t>
  </si>
  <si>
    <t>KUNDA TRANS</t>
  </si>
  <si>
    <t>NÄPI SAEVESKI</t>
  </si>
  <si>
    <t>PENN&amp; PÄRLIN</t>
  </si>
  <si>
    <t>Lauri Anton</t>
  </si>
  <si>
    <t>Triin Lekko</t>
  </si>
  <si>
    <t>Ragnar Orgus</t>
  </si>
  <si>
    <t>Piret Aess</t>
  </si>
  <si>
    <t>Andres Saksman</t>
  </si>
  <si>
    <t>Jaano Haidla</t>
  </si>
  <si>
    <t>Aivo Anton</t>
  </si>
  <si>
    <t>Kristi Piispea</t>
  </si>
  <si>
    <t>Marko Polski</t>
  </si>
  <si>
    <t>Rainer Võsaste</t>
  </si>
  <si>
    <t>Anti Palmi</t>
  </si>
  <si>
    <t>Allan Liima</t>
  </si>
  <si>
    <t>Sten Lume</t>
  </si>
  <si>
    <t>Tiina Halling</t>
  </si>
  <si>
    <t>Andres Lume</t>
  </si>
  <si>
    <t>Kalle Roostik</t>
  </si>
  <si>
    <t>Argo Laus</t>
  </si>
  <si>
    <t>Hilja Roostik</t>
  </si>
  <si>
    <t>PENN&amp;PÄRLIN</t>
  </si>
  <si>
    <t>Noobel</t>
  </si>
  <si>
    <t>MP Auto</t>
  </si>
  <si>
    <t>Assar Lukuauk</t>
  </si>
  <si>
    <t>Kunda Trans</t>
  </si>
  <si>
    <t>Näpi Saeveski</t>
  </si>
  <si>
    <t>Penn&amp;Pärlin</t>
  </si>
  <si>
    <t>Jüri Elijas</t>
  </si>
  <si>
    <t>RT EHITUS</t>
  </si>
  <si>
    <t>Riina Kask</t>
  </si>
  <si>
    <t>Kalle Kask</t>
  </si>
  <si>
    <t>Margo Jäger</t>
  </si>
  <si>
    <t>AKAT 1</t>
  </si>
  <si>
    <t>Mikk Mikker</t>
  </si>
  <si>
    <t>Martin Kink</t>
  </si>
  <si>
    <t>Alar Kink</t>
  </si>
  <si>
    <t>Wiru Ehitus</t>
  </si>
  <si>
    <t>Aivar Eimla</t>
  </si>
  <si>
    <t>Roland Kadakas</t>
  </si>
  <si>
    <t>Marge Loik</t>
  </si>
  <si>
    <t>Näpi Saeveski 2</t>
  </si>
  <si>
    <t>Christel Putta</t>
  </si>
  <si>
    <t>Kalle Pikhoff</t>
  </si>
  <si>
    <t>Raivo Kaasik</t>
  </si>
  <si>
    <t>TELFER GRUPP</t>
  </si>
  <si>
    <t>Märtten Männapuu</t>
  </si>
  <si>
    <t>Eve Palmar</t>
  </si>
  <si>
    <t>Janar Vabarna</t>
  </si>
  <si>
    <t>Rakvere Soojus</t>
  </si>
  <si>
    <t>Viktor Mestilainen</t>
  </si>
  <si>
    <t>Piret Vares</t>
  </si>
  <si>
    <t>Kalju Pilviste</t>
  </si>
  <si>
    <t>RAKVERE SOOJUS</t>
  </si>
  <si>
    <t>WIRU EHITUS</t>
  </si>
  <si>
    <t>NÄPI SAEVESKI 2</t>
  </si>
  <si>
    <t>Markko Polski</t>
  </si>
  <si>
    <t>Telfer Grupp</t>
  </si>
  <si>
    <t>RT Ehitus</t>
  </si>
  <si>
    <t xml:space="preserve">Piret Vares </t>
  </si>
  <si>
    <t>Monika Kalvik</t>
  </si>
  <si>
    <t>Guido Lõo</t>
  </si>
  <si>
    <t>Õie Kokk</t>
  </si>
  <si>
    <t>Aldo Raja</t>
  </si>
  <si>
    <t>Elena Vainlo</t>
  </si>
  <si>
    <t>A.Nikolajev</t>
  </si>
  <si>
    <t>FIRMALIIGA II voor  29.09.2003</t>
  </si>
  <si>
    <t>Jaanus Engaste</t>
  </si>
  <si>
    <t>Erik Rokk</t>
  </si>
  <si>
    <t>Kairi Länts</t>
  </si>
  <si>
    <t>FIRMALIIGA II voor  30.09.2003</t>
  </si>
  <si>
    <t>Anneli Lulla</t>
  </si>
  <si>
    <t>Vahur Leemets</t>
  </si>
  <si>
    <t>Liina Kald</t>
  </si>
  <si>
    <t>FIRMALIIGA II voor  01.10.2003</t>
  </si>
  <si>
    <t>Valentina Tammus</t>
  </si>
  <si>
    <t>Matti Eljaste</t>
  </si>
  <si>
    <t>Jaanus Sang</t>
  </si>
  <si>
    <t>Peeter Võsaste</t>
  </si>
  <si>
    <t>Torben Porsholdt</t>
  </si>
  <si>
    <t>FIRMALIIGA II voor  02.10.2003</t>
  </si>
  <si>
    <t>FIRMALIIGA II voor  06.10.2003</t>
  </si>
  <si>
    <t>Holst/ Malmberg</t>
  </si>
  <si>
    <t>Ardi Välja</t>
  </si>
  <si>
    <t>Erina Kallaste</t>
  </si>
  <si>
    <t>Eero Arpo</t>
  </si>
  <si>
    <t>Silver Aros</t>
  </si>
  <si>
    <t>-HK</t>
  </si>
  <si>
    <t>Jaanus Bazanov</t>
  </si>
  <si>
    <t>Rannu Eimla</t>
  </si>
  <si>
    <t>Üllar Rego</t>
  </si>
  <si>
    <t>FIRMALIIGA II voor  07.10.2003</t>
  </si>
  <si>
    <t>FIRMALIIGA II voor  08.10.2003</t>
  </si>
  <si>
    <t xml:space="preserve">Kaido Klaats </t>
  </si>
  <si>
    <t>FIRMALIIGA III voor  13.10.2003</t>
  </si>
  <si>
    <t>Eve Kaurla</t>
  </si>
  <si>
    <t>Lorena Kadakas</t>
  </si>
  <si>
    <t>Jüri Ristimägi</t>
  </si>
  <si>
    <t>FIRMALIIGA III voor  14.10.2003</t>
  </si>
  <si>
    <t>FIRMALIIGA III voor  15.10.2003</t>
  </si>
  <si>
    <t>Katrin Kull</t>
  </si>
  <si>
    <t>Rita Trasberg</t>
  </si>
  <si>
    <t>Gerd Mölder</t>
  </si>
  <si>
    <t>FIRMALIIGA III voor  16.10.2003</t>
  </si>
  <si>
    <t>Andrus Aul</t>
  </si>
  <si>
    <t>FIRMALIIGA III voor  20.10.2003</t>
  </si>
  <si>
    <t>Andres Saksmann</t>
  </si>
  <si>
    <t>Mart Laidroo</t>
  </si>
  <si>
    <t>FIRMALIIGA III voor  21.10.2003</t>
  </si>
  <si>
    <t>Nadja Hein</t>
  </si>
  <si>
    <t>Pille Männik</t>
  </si>
  <si>
    <t>Karmo Aros</t>
  </si>
  <si>
    <t>FIRMALIIGA III voor  22.10.2003</t>
  </si>
  <si>
    <t>FIRMALIIGA IV voor  27.10.2003</t>
  </si>
  <si>
    <t>Mari Roostik</t>
  </si>
  <si>
    <t>Raili Rooba</t>
  </si>
  <si>
    <t>Tapa Linna-valitsus</t>
  </si>
  <si>
    <t>FIRMALIIGA IV voor  28.10.2003</t>
  </si>
  <si>
    <t>KLG viru</t>
  </si>
  <si>
    <t>Indrek Triebstok</t>
  </si>
  <si>
    <t>Annely Lumiste</t>
  </si>
  <si>
    <t>FIRMALIIGA IV voor  29.10.2003</t>
  </si>
  <si>
    <t>Taimo Lipp</t>
  </si>
  <si>
    <t>Kaari Kask</t>
  </si>
  <si>
    <t>Penn&amp; Pärlin</t>
  </si>
  <si>
    <t>Anatoli Steinberg</t>
  </si>
  <si>
    <t>FIRMALIIGA IV voor  30.10.2003</t>
  </si>
  <si>
    <t>FIRMALIIGA IV voor  3.11.2003</t>
  </si>
  <si>
    <t>FIRMALIIGA IV voor  4.11.2003</t>
  </si>
  <si>
    <t>FIRMALIIGA IV voor  5.11.2003</t>
  </si>
  <si>
    <t>Piret Klaats</t>
  </si>
  <si>
    <t>Merike Mäesepp</t>
  </si>
  <si>
    <t>FIRMALIIGA V voor  10.11.2003</t>
  </si>
  <si>
    <t>FIRMALIIGA V voor  12.11.2003</t>
  </si>
  <si>
    <t>Rein Pärna</t>
  </si>
  <si>
    <t>FIRMALIIGA V voor  18.11.2003</t>
  </si>
  <si>
    <t>FIRMALIIGA V voor  19.11.2003</t>
  </si>
  <si>
    <t>FIRMALIIGA V voor  17.11.2003</t>
  </si>
  <si>
    <t>FIRMALIIGA V voor  13.11.2003</t>
  </si>
  <si>
    <t>FIRMALIIGA V voor  11.11.2003</t>
  </si>
  <si>
    <t>Ando Küttis</t>
  </si>
  <si>
    <t>Silver Lume</t>
  </si>
  <si>
    <t>Jan Klaasen</t>
  </si>
  <si>
    <t>Margus Kokk</t>
  </si>
  <si>
    <t>Jaanika Siim</t>
  </si>
  <si>
    <t>Indrek Krigul</t>
  </si>
  <si>
    <t>Tarmo Nuija</t>
  </si>
  <si>
    <t>FIRMALIIGA VI voor  27.11.2003</t>
  </si>
  <si>
    <t>FIRMALIIGA VI voor  26.11.2003</t>
  </si>
  <si>
    <t>FIRMALIIGA VI voor  25.11.2003</t>
  </si>
  <si>
    <t>FIRMALIIGA VI voor  24.11.2003</t>
  </si>
  <si>
    <t>FIRMALIIGA VI voor  01.12.2003</t>
  </si>
  <si>
    <t>FIRMALIIGA V voor  02.12.2003</t>
  </si>
  <si>
    <t>FIRMALIIGA V voor  03.12.2003</t>
  </si>
  <si>
    <t>Arvi Rootsmaa</t>
  </si>
  <si>
    <t>Later 1</t>
  </si>
  <si>
    <t>Magnus Alviste</t>
  </si>
  <si>
    <t>Rain Rõigas</t>
  </si>
  <si>
    <t>VII</t>
  </si>
  <si>
    <t>VII-HK</t>
  </si>
  <si>
    <t>FIRMALIIGA  Finaalvoor  12.12.2003</t>
  </si>
  <si>
    <t>FIRMALIIGA  Finaalvoor  10.12.2003</t>
  </si>
  <si>
    <t>FIRMALIIGA  Finaalvoor  9.12.2003</t>
  </si>
  <si>
    <t>FIRMALIIGA  Finaalvoor  8.11.2003</t>
  </si>
  <si>
    <t>Fin.  voor</t>
  </si>
  <si>
    <t>Finaal</t>
  </si>
  <si>
    <t>F-HK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</si>
</sst>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_);_(* \(#,##0.0\);_(* &quot;-&quot;?_);_(@_)"/>
    <numFmt numFmtId="174" formatCode="0;[Red]0"/>
    <numFmt numFmtId="175" formatCode="0.0"/>
    <numFmt numFmtId="176" formatCode="0.000"/>
    <numFmt numFmtId="177" formatCode="0.0000"/>
    <numFmt numFmtId="178" formatCode="_-* #,##0.000\ _k_r_-;\-* #,##0.000\ _k_r_-;_-* &quot;-&quot;??\ _k_r_-;_-@_-"/>
    <numFmt numFmtId="179" formatCode="#,##0.00_ ;\-#,##0.00\ "/>
    <numFmt numFmtId="180" formatCode="_-* #,##0.0\ _k_r_-;\-* #,##0.0\ _k_r_-;_-* &quot;-&quot;??\ _k_r_-;_-@_-"/>
    <numFmt numFmtId="181" formatCode="_-* #,##0\ _k_r_-;\-* #,##0\ _k_r_-;_-* &quot;-&quot;??\ _k_r_-;_-@_-"/>
    <numFmt numFmtId="182" formatCode="dd/mm/yyyy"/>
    <numFmt numFmtId="183" formatCode="#,##0.0_ ;\-#,##0.0\ "/>
    <numFmt numFmtId="184" formatCode="d\-mmm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 Baltic"/>
      <family val="2"/>
    </font>
    <font>
      <b/>
      <sz val="14"/>
      <name val="Arial Baltic"/>
      <family val="2"/>
    </font>
    <font>
      <b/>
      <sz val="18"/>
      <name val="Arial Baltic"/>
      <family val="2"/>
    </font>
    <font>
      <b/>
      <sz val="10"/>
      <name val="Arial Baltic"/>
      <family val="2"/>
    </font>
    <font>
      <b/>
      <sz val="13"/>
      <name val="Arial Baltic"/>
      <family val="2"/>
    </font>
    <font>
      <b/>
      <sz val="12"/>
      <name val="Arial Baltic"/>
      <family val="2"/>
    </font>
    <font>
      <b/>
      <u val="single"/>
      <sz val="11"/>
      <name val="Arial Baltic"/>
      <family val="2"/>
    </font>
    <font>
      <b/>
      <sz val="16"/>
      <name val="Arial Baltic"/>
      <family val="2"/>
    </font>
    <font>
      <sz val="13"/>
      <name val="Arial Baltic"/>
      <family val="2"/>
    </font>
    <font>
      <sz val="12"/>
      <name val="Arial Baltic"/>
      <family val="2"/>
    </font>
    <font>
      <b/>
      <sz val="12"/>
      <color indexed="10"/>
      <name val="Arial Baltic"/>
      <family val="2"/>
    </font>
    <font>
      <b/>
      <sz val="10"/>
      <color indexed="12"/>
      <name val="Arial Baltic"/>
      <family val="2"/>
    </font>
    <font>
      <b/>
      <sz val="12"/>
      <color indexed="12"/>
      <name val="Arial Baltic"/>
      <family val="2"/>
    </font>
    <font>
      <b/>
      <sz val="11"/>
      <color indexed="12"/>
      <name val="Arial Baltic"/>
      <family val="2"/>
    </font>
    <font>
      <sz val="10"/>
      <name val="Arial Baltic"/>
      <family val="2"/>
    </font>
    <font>
      <sz val="11"/>
      <name val="Arial Baltic"/>
      <family val="2"/>
    </font>
    <font>
      <b/>
      <sz val="10"/>
      <color indexed="62"/>
      <name val="Arial Baltic"/>
      <family val="2"/>
    </font>
    <font>
      <b/>
      <sz val="11"/>
      <color indexed="62"/>
      <name val="Arial Baltic"/>
      <family val="2"/>
    </font>
    <font>
      <b/>
      <sz val="14"/>
      <color indexed="10"/>
      <name val="Arial Baltic"/>
      <family val="2"/>
    </font>
    <font>
      <sz val="18"/>
      <name val="Arial Baltic"/>
      <family val="2"/>
    </font>
    <font>
      <b/>
      <sz val="11"/>
      <color indexed="10"/>
      <name val="Arial Baltic"/>
      <family val="2"/>
    </font>
    <font>
      <sz val="14"/>
      <name val="Arial Baltic"/>
      <family val="2"/>
    </font>
    <font>
      <sz val="13"/>
      <color indexed="62"/>
      <name val="Arial Baltic"/>
      <family val="2"/>
    </font>
    <font>
      <sz val="12"/>
      <color indexed="62"/>
      <name val="Arial Baltic"/>
      <family val="2"/>
    </font>
    <font>
      <sz val="13"/>
      <color indexed="12"/>
      <name val="Arial Baltic"/>
      <family val="2"/>
    </font>
    <font>
      <sz val="12"/>
      <color indexed="12"/>
      <name val="Arial Baltic"/>
      <family val="2"/>
    </font>
    <font>
      <b/>
      <sz val="11"/>
      <color indexed="20"/>
      <name val="Arial Balt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174" fontId="3" fillId="2" borderId="0" xfId="22" applyNumberFormat="1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3" fillId="2" borderId="0" xfId="22" applyFont="1" applyFill="1">
      <alignment/>
      <protection/>
    </xf>
    <xf numFmtId="0" fontId="3" fillId="2" borderId="1" xfId="22" applyFont="1" applyFill="1" applyBorder="1" applyAlignment="1">
      <alignment horizontal="center"/>
      <protection/>
    </xf>
    <xf numFmtId="174" fontId="3" fillId="2" borderId="2" xfId="22" applyNumberFormat="1" applyFont="1" applyFill="1" applyBorder="1" applyAlignment="1">
      <alignment horizontal="center"/>
      <protection/>
    </xf>
    <xf numFmtId="0" fontId="3" fillId="2" borderId="2" xfId="22" applyFont="1" applyFill="1" applyBorder="1" applyAlignment="1">
      <alignment horizontal="left"/>
      <protection/>
    </xf>
    <xf numFmtId="0" fontId="3" fillId="2" borderId="2" xfId="22" applyFont="1" applyFill="1" applyBorder="1" applyAlignment="1">
      <alignment horizontal="center"/>
      <protection/>
    </xf>
    <xf numFmtId="0" fontId="3" fillId="2" borderId="1" xfId="22" applyFont="1" applyFill="1" applyBorder="1" applyAlignment="1">
      <alignment horizontal="left"/>
      <protection/>
    </xf>
    <xf numFmtId="0" fontId="3" fillId="2" borderId="3" xfId="22" applyFont="1" applyFill="1" applyBorder="1" applyAlignment="1">
      <alignment horizontal="center"/>
      <protection/>
    </xf>
    <xf numFmtId="174" fontId="3" fillId="2" borderId="3" xfId="22" applyNumberFormat="1" applyFont="1" applyFill="1" applyBorder="1" applyAlignment="1">
      <alignment horizontal="center"/>
      <protection/>
    </xf>
    <xf numFmtId="0" fontId="3" fillId="2" borderId="4" xfId="22" applyFont="1" applyFill="1" applyBorder="1" applyAlignment="1">
      <alignment horizontal="left"/>
      <protection/>
    </xf>
    <xf numFmtId="0" fontId="3" fillId="2" borderId="4" xfId="22" applyFont="1" applyFill="1" applyBorder="1" applyAlignment="1">
      <alignment horizontal="center"/>
      <protection/>
    </xf>
    <xf numFmtId="2" fontId="3" fillId="2" borderId="0" xfId="22" applyNumberFormat="1" applyFont="1" applyFill="1" applyAlignment="1">
      <alignment horizontal="center"/>
      <protection/>
    </xf>
    <xf numFmtId="0" fontId="6" fillId="2" borderId="0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center"/>
      <protection/>
    </xf>
    <xf numFmtId="0" fontId="6" fillId="2" borderId="0" xfId="23" applyFont="1" applyFill="1" applyBorder="1">
      <alignment/>
      <protection/>
    </xf>
    <xf numFmtId="0" fontId="3" fillId="2" borderId="1" xfId="23" applyFont="1" applyFill="1" applyBorder="1" applyAlignment="1">
      <alignment horizontal="center"/>
      <protection/>
    </xf>
    <xf numFmtId="43" fontId="3" fillId="2" borderId="1" xfId="17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0" fontId="6" fillId="2" borderId="0" xfId="0" applyFont="1" applyFill="1" applyAlignment="1">
      <alignment/>
    </xf>
    <xf numFmtId="0" fontId="6" fillId="2" borderId="0" xfId="23" applyFont="1" applyFill="1" applyBorder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7" fillId="2" borderId="0" xfId="23" applyFont="1" applyFill="1" applyAlignment="1">
      <alignment horizontal="center"/>
      <protection/>
    </xf>
    <xf numFmtId="0" fontId="8" fillId="2" borderId="5" xfId="23" applyFont="1" applyFill="1" applyBorder="1" applyAlignment="1">
      <alignment horizontal="center"/>
      <protection/>
    </xf>
    <xf numFmtId="0" fontId="8" fillId="2" borderId="5" xfId="23" applyFont="1" applyFill="1" applyBorder="1" applyAlignment="1">
      <alignment horizontal="left"/>
      <protection/>
    </xf>
    <xf numFmtId="180" fontId="8" fillId="2" borderId="1" xfId="17" applyNumberFormat="1" applyFont="1" applyFill="1" applyBorder="1" applyAlignment="1">
      <alignment/>
    </xf>
    <xf numFmtId="0" fontId="8" fillId="2" borderId="1" xfId="23" applyFont="1" applyFill="1" applyBorder="1" applyAlignment="1">
      <alignment horizontal="left"/>
      <protection/>
    </xf>
    <xf numFmtId="0" fontId="8" fillId="2" borderId="0" xfId="23" applyFont="1" applyFill="1">
      <alignment/>
      <protection/>
    </xf>
    <xf numFmtId="0" fontId="8" fillId="2" borderId="6" xfId="23" applyFont="1" applyFill="1" applyBorder="1" applyAlignment="1">
      <alignment horizontal="center"/>
      <protection/>
    </xf>
    <xf numFmtId="0" fontId="8" fillId="2" borderId="7" xfId="23" applyFont="1" applyFill="1" applyBorder="1" applyAlignment="1">
      <alignment horizontal="center"/>
      <protection/>
    </xf>
    <xf numFmtId="180" fontId="8" fillId="2" borderId="4" xfId="17" applyNumberFormat="1" applyFont="1" applyFill="1" applyBorder="1" applyAlignment="1">
      <alignment/>
    </xf>
    <xf numFmtId="0" fontId="8" fillId="2" borderId="8" xfId="23" applyFont="1" applyFill="1" applyBorder="1" applyAlignment="1">
      <alignment horizontal="center"/>
      <protection/>
    </xf>
    <xf numFmtId="0" fontId="4" fillId="2" borderId="9" xfId="23" applyFont="1" applyFill="1" applyBorder="1" applyAlignment="1">
      <alignment horizontal="center" vertical="center"/>
      <protection/>
    </xf>
    <xf numFmtId="175" fontId="4" fillId="2" borderId="2" xfId="17" applyNumberFormat="1" applyFont="1" applyFill="1" applyBorder="1" applyAlignment="1">
      <alignment horizontal="center" vertical="center"/>
    </xf>
    <xf numFmtId="0" fontId="3" fillId="2" borderId="0" xfId="23" applyFont="1" applyFill="1" applyAlignment="1">
      <alignment vertical="center"/>
      <protection/>
    </xf>
    <xf numFmtId="0" fontId="7" fillId="2" borderId="0" xfId="0" applyFont="1" applyFill="1" applyAlignment="1">
      <alignment/>
    </xf>
    <xf numFmtId="0" fontId="6" fillId="2" borderId="0" xfId="23" applyFont="1" applyFill="1">
      <alignment/>
      <protection/>
    </xf>
    <xf numFmtId="180" fontId="6" fillId="2" borderId="0" xfId="17" applyNumberFormat="1" applyFont="1" applyFill="1" applyAlignment="1">
      <alignment/>
    </xf>
    <xf numFmtId="0" fontId="3" fillId="2" borderId="9" xfId="23" applyFont="1" applyFill="1" applyBorder="1" applyAlignment="1">
      <alignment horizontal="center" vertical="center" wrapText="1"/>
      <protection/>
    </xf>
    <xf numFmtId="0" fontId="3" fillId="2" borderId="2" xfId="23" applyFont="1" applyFill="1" applyBorder="1" applyAlignment="1">
      <alignment horizontal="center" vertical="center" wrapText="1"/>
      <protection/>
    </xf>
    <xf numFmtId="0" fontId="9" fillId="2" borderId="0" xfId="23" applyFont="1" applyFill="1" applyAlignment="1">
      <alignment vertical="center"/>
      <protection/>
    </xf>
    <xf numFmtId="0" fontId="8" fillId="2" borderId="9" xfId="23" applyFont="1" applyFill="1" applyBorder="1" applyAlignment="1">
      <alignment horizontal="center" vertical="center"/>
      <protection/>
    </xf>
    <xf numFmtId="0" fontId="8" fillId="2" borderId="1" xfId="23" applyFont="1" applyFill="1" applyBorder="1" applyAlignment="1">
      <alignment horizontal="center" vertical="center"/>
      <protection/>
    </xf>
    <xf numFmtId="0" fontId="8" fillId="2" borderId="4" xfId="23" applyFont="1" applyFill="1" applyBorder="1" applyAlignment="1">
      <alignment horizontal="center" vertical="center"/>
      <protection/>
    </xf>
    <xf numFmtId="0" fontId="8" fillId="2" borderId="2" xfId="23" applyFont="1" applyFill="1" applyBorder="1" applyAlignment="1">
      <alignment horizontal="center" vertical="center"/>
      <protection/>
    </xf>
    <xf numFmtId="0" fontId="8" fillId="2" borderId="10" xfId="23" applyFont="1" applyFill="1" applyBorder="1" applyAlignment="1">
      <alignment horizontal="center" vertical="center"/>
      <protection/>
    </xf>
    <xf numFmtId="0" fontId="8" fillId="2" borderId="11" xfId="23" applyFont="1" applyFill="1" applyBorder="1" applyAlignment="1">
      <alignment horizontal="center" vertical="center"/>
      <protection/>
    </xf>
    <xf numFmtId="0" fontId="8" fillId="2" borderId="12" xfId="23" applyFont="1" applyFill="1" applyBorder="1" applyAlignment="1">
      <alignment horizontal="center" vertical="center"/>
      <protection/>
    </xf>
    <xf numFmtId="180" fontId="8" fillId="2" borderId="1" xfId="17" applyNumberFormat="1" applyFont="1" applyFill="1" applyBorder="1" applyAlignment="1">
      <alignment horizontal="center"/>
    </xf>
    <xf numFmtId="180" fontId="8" fillId="2" borderId="4" xfId="17" applyNumberFormat="1" applyFont="1" applyFill="1" applyBorder="1" applyAlignment="1">
      <alignment horizontal="center"/>
    </xf>
    <xf numFmtId="0" fontId="11" fillId="2" borderId="0" xfId="23" applyFont="1" applyFill="1" applyAlignment="1">
      <alignment horizontal="center"/>
      <protection/>
    </xf>
    <xf numFmtId="0" fontId="11" fillId="2" borderId="13" xfId="23" applyFont="1" applyFill="1" applyBorder="1" applyAlignment="1">
      <alignment horizontal="center"/>
      <protection/>
    </xf>
    <xf numFmtId="0" fontId="11" fillId="2" borderId="14" xfId="23" applyFont="1" applyFill="1" applyBorder="1" applyAlignment="1">
      <alignment horizontal="center"/>
      <protection/>
    </xf>
    <xf numFmtId="0" fontId="17" fillId="2" borderId="0" xfId="23" applyFont="1" applyFill="1" applyAlignment="1">
      <alignment horizontal="center"/>
      <protection/>
    </xf>
    <xf numFmtId="0" fontId="12" fillId="2" borderId="10" xfId="23" applyFont="1" applyFill="1" applyBorder="1" applyAlignment="1">
      <alignment horizontal="center" vertical="center"/>
      <protection/>
    </xf>
    <xf numFmtId="0" fontId="12" fillId="2" borderId="11" xfId="23" applyFont="1" applyFill="1" applyBorder="1" applyAlignment="1">
      <alignment horizontal="center" vertical="center"/>
      <protection/>
    </xf>
    <xf numFmtId="0" fontId="12" fillId="2" borderId="12" xfId="23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 horizontal="center"/>
    </xf>
    <xf numFmtId="0" fontId="12" fillId="2" borderId="15" xfId="23" applyFont="1" applyFill="1" applyBorder="1" applyAlignment="1">
      <alignment horizontal="center" vertical="center" wrapText="1"/>
      <protection/>
    </xf>
    <xf numFmtId="0" fontId="8" fillId="2" borderId="16" xfId="23" applyFont="1" applyFill="1" applyBorder="1" applyAlignment="1">
      <alignment horizontal="center" vertical="center"/>
      <protection/>
    </xf>
    <xf numFmtId="0" fontId="3" fillId="2" borderId="1" xfId="23" applyFont="1" applyFill="1" applyBorder="1" applyAlignment="1">
      <alignment horizontal="center" vertical="center" wrapText="1"/>
      <protection/>
    </xf>
    <xf numFmtId="175" fontId="4" fillId="2" borderId="9" xfId="17" applyNumberFormat="1" applyFont="1" applyFill="1" applyBorder="1" applyAlignment="1">
      <alignment horizontal="center" vertical="center"/>
    </xf>
    <xf numFmtId="0" fontId="13" fillId="2" borderId="12" xfId="23" applyFont="1" applyFill="1" applyBorder="1" applyAlignment="1">
      <alignment horizontal="center" vertical="center"/>
      <protection/>
    </xf>
    <xf numFmtId="175" fontId="8" fillId="2" borderId="1" xfId="17" applyNumberFormat="1" applyFont="1" applyFill="1" applyBorder="1" applyAlignment="1">
      <alignment horizontal="center" vertical="center"/>
    </xf>
    <xf numFmtId="175" fontId="8" fillId="2" borderId="4" xfId="17" applyNumberFormat="1" applyFont="1" applyFill="1" applyBorder="1" applyAlignment="1">
      <alignment horizontal="center" vertical="center"/>
    </xf>
    <xf numFmtId="0" fontId="8" fillId="2" borderId="15" xfId="23" applyFont="1" applyFill="1" applyBorder="1" applyAlignment="1">
      <alignment horizontal="center" vertical="center" wrapText="1"/>
      <protection/>
    </xf>
    <xf numFmtId="0" fontId="14" fillId="2" borderId="0" xfId="23" applyFont="1" applyFill="1">
      <alignment/>
      <protection/>
    </xf>
    <xf numFmtId="0" fontId="15" fillId="2" borderId="5" xfId="23" applyFont="1" applyFill="1" applyBorder="1" applyAlignment="1">
      <alignment horizontal="left"/>
      <protection/>
    </xf>
    <xf numFmtId="0" fontId="15" fillId="2" borderId="7" xfId="23" applyFont="1" applyFill="1" applyBorder="1" applyAlignment="1">
      <alignment horizont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4" xfId="23" applyFont="1" applyFill="1" applyBorder="1" applyAlignment="1">
      <alignment horizontal="center" vertical="center"/>
      <protection/>
    </xf>
    <xf numFmtId="0" fontId="15" fillId="2" borderId="2" xfId="23" applyFont="1" applyFill="1" applyBorder="1" applyAlignment="1">
      <alignment horizontal="center" vertical="center"/>
      <protection/>
    </xf>
    <xf numFmtId="0" fontId="14" fillId="2" borderId="0" xfId="0" applyFont="1" applyFill="1" applyAlignment="1">
      <alignment/>
    </xf>
    <xf numFmtId="1" fontId="16" fillId="2" borderId="0" xfId="22" applyNumberFormat="1" applyFont="1" applyFill="1" applyAlignment="1">
      <alignment horizontal="center"/>
      <protection/>
    </xf>
    <xf numFmtId="1" fontId="16" fillId="2" borderId="2" xfId="22" applyNumberFormat="1" applyFont="1" applyFill="1" applyBorder="1" applyAlignment="1">
      <alignment horizontal="center"/>
      <protection/>
    </xf>
    <xf numFmtId="1" fontId="16" fillId="2" borderId="4" xfId="22" applyNumberFormat="1" applyFont="1" applyFill="1" applyBorder="1" applyAlignment="1">
      <alignment horizontal="center"/>
      <protection/>
    </xf>
    <xf numFmtId="175" fontId="3" fillId="2" borderId="2" xfId="22" applyNumberFormat="1" applyFont="1" applyFill="1" applyBorder="1" applyAlignment="1">
      <alignment horizontal="center"/>
      <protection/>
    </xf>
    <xf numFmtId="175" fontId="3" fillId="2" borderId="4" xfId="22" applyNumberFormat="1" applyFont="1" applyFill="1" applyBorder="1" applyAlignment="1">
      <alignment horizontal="center"/>
      <protection/>
    </xf>
    <xf numFmtId="0" fontId="18" fillId="2" borderId="1" xfId="23" applyFont="1" applyFill="1" applyBorder="1" applyAlignment="1">
      <alignment horizontal="center"/>
      <protection/>
    </xf>
    <xf numFmtId="0" fontId="17" fillId="2" borderId="0" xfId="0" applyFont="1" applyFill="1" applyAlignment="1">
      <alignment/>
    </xf>
    <xf numFmtId="0" fontId="17" fillId="2" borderId="17" xfId="23" applyFont="1" applyFill="1" applyBorder="1" applyAlignment="1">
      <alignment horizontal="center"/>
      <protection/>
    </xf>
    <xf numFmtId="0" fontId="6" fillId="2" borderId="6" xfId="23" applyFont="1" applyFill="1" applyBorder="1" applyAlignment="1">
      <alignment horizontal="center" vertical="center" wrapText="1"/>
      <protection/>
    </xf>
    <xf numFmtId="0" fontId="6" fillId="2" borderId="7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17" fillId="2" borderId="1" xfId="23" applyFont="1" applyFill="1" applyBorder="1" applyAlignment="1">
      <alignment horizontal="center" vertical="center" wrapText="1"/>
      <protection/>
    </xf>
    <xf numFmtId="0" fontId="6" fillId="2" borderId="6" xfId="23" applyFont="1" applyFill="1" applyBorder="1" applyAlignment="1">
      <alignment horizontal="left" vertical="center" wrapText="1"/>
      <protection/>
    </xf>
    <xf numFmtId="43" fontId="6" fillId="2" borderId="14" xfId="17" applyFont="1" applyFill="1" applyBorder="1" applyAlignment="1">
      <alignment horizontal="center" vertical="center" wrapText="1"/>
    </xf>
    <xf numFmtId="0" fontId="6" fillId="2" borderId="0" xfId="23" applyFont="1" applyFill="1" applyBorder="1" applyAlignment="1">
      <alignment vertical="center" wrapText="1"/>
      <protection/>
    </xf>
    <xf numFmtId="0" fontId="12" fillId="2" borderId="18" xfId="23" applyFont="1" applyFill="1" applyBorder="1" applyAlignment="1">
      <alignment horizontal="center" vertical="center" wrapText="1"/>
      <protection/>
    </xf>
    <xf numFmtId="0" fontId="12" fillId="2" borderId="19" xfId="23" applyFont="1" applyFill="1" applyBorder="1" applyAlignment="1">
      <alignment horizontal="center" vertical="center"/>
      <protection/>
    </xf>
    <xf numFmtId="0" fontId="12" fillId="2" borderId="13" xfId="23" applyFont="1" applyFill="1" applyBorder="1" applyAlignment="1">
      <alignment horizontal="center"/>
      <protection/>
    </xf>
    <xf numFmtId="0" fontId="12" fillId="2" borderId="14" xfId="23" applyFont="1" applyFill="1" applyBorder="1" applyAlignment="1">
      <alignment horizontal="center"/>
      <protection/>
    </xf>
    <xf numFmtId="0" fontId="18" fillId="2" borderId="19" xfId="23" applyFont="1" applyFill="1" applyBorder="1" applyAlignment="1">
      <alignment horizontal="center" vertical="center" wrapText="1"/>
      <protection/>
    </xf>
    <xf numFmtId="0" fontId="12" fillId="2" borderId="14" xfId="23" applyFont="1" applyFill="1" applyBorder="1" applyAlignment="1">
      <alignment horizontal="center" vertical="center"/>
      <protection/>
    </xf>
    <xf numFmtId="0" fontId="12" fillId="2" borderId="20" xfId="23" applyFont="1" applyFill="1" applyBorder="1" applyAlignment="1">
      <alignment horizontal="center" vertical="center"/>
      <protection/>
    </xf>
    <xf numFmtId="0" fontId="12" fillId="2" borderId="21" xfId="23" applyFont="1" applyFill="1" applyBorder="1" applyAlignment="1">
      <alignment horizontal="center" vertical="center"/>
      <protection/>
    </xf>
    <xf numFmtId="0" fontId="18" fillId="2" borderId="9" xfId="23" applyFont="1" applyFill="1" applyBorder="1" applyAlignment="1">
      <alignment horizontal="center" vertical="center" wrapText="1"/>
      <protection/>
    </xf>
    <xf numFmtId="0" fontId="18" fillId="2" borderId="2" xfId="23" applyFont="1" applyFill="1" applyBorder="1" applyAlignment="1">
      <alignment horizontal="center" vertical="center" wrapText="1"/>
      <protection/>
    </xf>
    <xf numFmtId="0" fontId="18" fillId="2" borderId="10" xfId="23" applyFont="1" applyFill="1" applyBorder="1" applyAlignment="1">
      <alignment horizontal="center" vertical="center" wrapText="1"/>
      <protection/>
    </xf>
    <xf numFmtId="0" fontId="18" fillId="2" borderId="15" xfId="23" applyFont="1" applyFill="1" applyBorder="1" applyAlignment="1">
      <alignment horizontal="center" vertical="center" wrapText="1"/>
      <protection/>
    </xf>
    <xf numFmtId="0" fontId="17" fillId="2" borderId="13" xfId="23" applyFont="1" applyFill="1" applyBorder="1" applyAlignment="1">
      <alignment horizontal="center"/>
      <protection/>
    </xf>
    <xf numFmtId="0" fontId="17" fillId="2" borderId="9" xfId="23" applyFont="1" applyFill="1" applyBorder="1" applyAlignment="1">
      <alignment horizontal="center" vertical="center"/>
      <protection/>
    </xf>
    <xf numFmtId="0" fontId="17" fillId="2" borderId="1" xfId="23" applyFont="1" applyFill="1" applyBorder="1" applyAlignment="1">
      <alignment horizontal="center" vertical="center"/>
      <protection/>
    </xf>
    <xf numFmtId="0" fontId="17" fillId="2" borderId="4" xfId="23" applyFont="1" applyFill="1" applyBorder="1" applyAlignment="1">
      <alignment horizontal="center" vertical="center"/>
      <protection/>
    </xf>
    <xf numFmtId="0" fontId="17" fillId="2" borderId="9" xfId="23" applyFont="1" applyFill="1" applyBorder="1" applyAlignment="1">
      <alignment horizontal="center" vertical="center" wrapText="1"/>
      <protection/>
    </xf>
    <xf numFmtId="0" fontId="17" fillId="2" borderId="2" xfId="23" applyFont="1" applyFill="1" applyBorder="1" applyAlignment="1">
      <alignment horizontal="center" vertical="center" wrapText="1"/>
      <protection/>
    </xf>
    <xf numFmtId="0" fontId="17" fillId="2" borderId="14" xfId="23" applyFont="1" applyFill="1" applyBorder="1" applyAlignment="1">
      <alignment horizontal="center" vertical="center"/>
      <protection/>
    </xf>
    <xf numFmtId="0" fontId="17" fillId="2" borderId="20" xfId="23" applyFont="1" applyFill="1" applyBorder="1" applyAlignment="1">
      <alignment horizontal="center" vertical="center"/>
      <protection/>
    </xf>
    <xf numFmtId="0" fontId="17" fillId="2" borderId="21" xfId="23" applyFont="1" applyFill="1" applyBorder="1" applyAlignment="1">
      <alignment horizontal="center" vertical="center"/>
      <protection/>
    </xf>
    <xf numFmtId="0" fontId="6" fillId="2" borderId="0" xfId="22" applyFont="1" applyFill="1" applyAlignment="1">
      <alignment vertical="center" wrapText="1"/>
      <protection/>
    </xf>
    <xf numFmtId="174" fontId="3" fillId="2" borderId="1" xfId="22" applyNumberFormat="1" applyFont="1" applyFill="1" applyBorder="1" applyAlignment="1">
      <alignment horizontal="center"/>
      <protection/>
    </xf>
    <xf numFmtId="175" fontId="3" fillId="2" borderId="1" xfId="22" applyNumberFormat="1" applyFont="1" applyFill="1" applyBorder="1" applyAlignment="1">
      <alignment horizontal="center"/>
      <protection/>
    </xf>
    <xf numFmtId="1" fontId="16" fillId="2" borderId="1" xfId="22" applyNumberFormat="1" applyFont="1" applyFill="1" applyBorder="1" applyAlignment="1">
      <alignment horizontal="center"/>
      <protection/>
    </xf>
    <xf numFmtId="1" fontId="19" fillId="2" borderId="0" xfId="23" applyNumberFormat="1" applyFont="1" applyFill="1" applyBorder="1" applyAlignment="1">
      <alignment horizontal="center"/>
      <protection/>
    </xf>
    <xf numFmtId="1" fontId="19" fillId="2" borderId="1" xfId="23" applyNumberFormat="1" applyFont="1" applyFill="1" applyBorder="1" applyAlignment="1">
      <alignment horizontal="center" vertical="center" wrapText="1"/>
      <protection/>
    </xf>
    <xf numFmtId="1" fontId="20" fillId="2" borderId="1" xfId="23" applyNumberFormat="1" applyFont="1" applyFill="1" applyBorder="1" applyAlignment="1">
      <alignment horizontal="center"/>
      <protection/>
    </xf>
    <xf numFmtId="1" fontId="19" fillId="2" borderId="0" xfId="0" applyNumberFormat="1" applyFont="1" applyFill="1" applyAlignment="1">
      <alignment horizontal="center"/>
    </xf>
    <xf numFmtId="180" fontId="6" fillId="2" borderId="0" xfId="17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2" fillId="2" borderId="0" xfId="22" applyFont="1" applyFill="1">
      <alignment/>
      <protection/>
    </xf>
    <xf numFmtId="0" fontId="18" fillId="2" borderId="2" xfId="22" applyFont="1" applyFill="1" applyBorder="1" applyAlignment="1">
      <alignment horizontal="center"/>
      <protection/>
    </xf>
    <xf numFmtId="0" fontId="18" fillId="2" borderId="1" xfId="22" applyFont="1" applyFill="1" applyBorder="1" applyAlignment="1">
      <alignment horizontal="center"/>
      <protection/>
    </xf>
    <xf numFmtId="0" fontId="18" fillId="2" borderId="4" xfId="22" applyFont="1" applyFill="1" applyBorder="1" applyAlignment="1">
      <alignment horizontal="center"/>
      <protection/>
    </xf>
    <xf numFmtId="0" fontId="18" fillId="2" borderId="3" xfId="22" applyFont="1" applyFill="1" applyBorder="1" applyAlignment="1">
      <alignment horizontal="center"/>
      <protection/>
    </xf>
    <xf numFmtId="0" fontId="18" fillId="2" borderId="0" xfId="22" applyFont="1" applyFill="1">
      <alignment/>
      <protection/>
    </xf>
    <xf numFmtId="175" fontId="21" fillId="2" borderId="2" xfId="17" applyNumberFormat="1" applyFont="1" applyFill="1" applyBorder="1" applyAlignment="1">
      <alignment horizontal="center" vertical="center"/>
    </xf>
    <xf numFmtId="0" fontId="23" fillId="2" borderId="1" xfId="22" applyFont="1" applyFill="1" applyBorder="1" applyAlignment="1">
      <alignment horizontal="center"/>
      <protection/>
    </xf>
    <xf numFmtId="175" fontId="3" fillId="2" borderId="3" xfId="22" applyNumberFormat="1" applyFont="1" applyFill="1" applyBorder="1" applyAlignment="1">
      <alignment horizontal="center"/>
      <protection/>
    </xf>
    <xf numFmtId="1" fontId="16" fillId="2" borderId="3" xfId="22" applyNumberFormat="1" applyFont="1" applyFill="1" applyBorder="1" applyAlignment="1">
      <alignment horizontal="center"/>
      <protection/>
    </xf>
    <xf numFmtId="0" fontId="12" fillId="2" borderId="9" xfId="23" applyFont="1" applyFill="1" applyBorder="1" applyAlignment="1">
      <alignment horizontal="center" vertical="center"/>
      <protection/>
    </xf>
    <xf numFmtId="49" fontId="17" fillId="2" borderId="17" xfId="23" applyNumberFormat="1" applyFont="1" applyFill="1" applyBorder="1" applyAlignment="1">
      <alignment horizontal="center"/>
      <protection/>
    </xf>
    <xf numFmtId="175" fontId="21" fillId="2" borderId="9" xfId="17" applyNumberFormat="1" applyFont="1" applyFill="1" applyBorder="1" applyAlignment="1">
      <alignment horizontal="center" vertical="center"/>
    </xf>
    <xf numFmtId="0" fontId="21" fillId="2" borderId="9" xfId="23" applyFont="1" applyFill="1" applyBorder="1" applyAlignment="1">
      <alignment horizontal="center" vertical="center"/>
      <protection/>
    </xf>
    <xf numFmtId="175" fontId="13" fillId="2" borderId="4" xfId="17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80" fontId="17" fillId="2" borderId="0" xfId="17" applyNumberFormat="1" applyFont="1" applyFill="1" applyBorder="1" applyAlignment="1">
      <alignment horizontal="center"/>
    </xf>
    <xf numFmtId="180" fontId="12" fillId="2" borderId="1" xfId="17" applyNumberFormat="1" applyFont="1" applyFill="1" applyBorder="1" applyAlignment="1">
      <alignment horizontal="center"/>
    </xf>
    <xf numFmtId="180" fontId="12" fillId="2" borderId="4" xfId="17" applyNumberFormat="1" applyFont="1" applyFill="1" applyBorder="1" applyAlignment="1">
      <alignment horizontal="center"/>
    </xf>
    <xf numFmtId="175" fontId="24" fillId="2" borderId="9" xfId="17" applyNumberFormat="1" applyFont="1" applyFill="1" applyBorder="1" applyAlignment="1">
      <alignment horizontal="center" vertical="center"/>
    </xf>
    <xf numFmtId="175" fontId="12" fillId="2" borderId="1" xfId="17" applyNumberFormat="1" applyFont="1" applyFill="1" applyBorder="1" applyAlignment="1">
      <alignment horizontal="center" vertical="center"/>
    </xf>
    <xf numFmtId="175" fontId="12" fillId="2" borderId="4" xfId="17" applyNumberFormat="1" applyFont="1" applyFill="1" applyBorder="1" applyAlignment="1">
      <alignment horizontal="center" vertical="center"/>
    </xf>
    <xf numFmtId="0" fontId="3" fillId="2" borderId="3" xfId="22" applyFont="1" applyFill="1" applyBorder="1" applyAlignment="1">
      <alignment horizontal="left"/>
      <protection/>
    </xf>
    <xf numFmtId="0" fontId="25" fillId="2" borderId="0" xfId="0" applyFont="1" applyFill="1" applyAlignment="1">
      <alignment horizontal="center"/>
    </xf>
    <xf numFmtId="0" fontId="25" fillId="2" borderId="13" xfId="23" applyFont="1" applyFill="1" applyBorder="1" applyAlignment="1">
      <alignment horizontal="center"/>
      <protection/>
    </xf>
    <xf numFmtId="0" fontId="25" fillId="2" borderId="14" xfId="23" applyFont="1" applyFill="1" applyBorder="1" applyAlignment="1">
      <alignment horizontal="center"/>
      <protection/>
    </xf>
    <xf numFmtId="0" fontId="26" fillId="2" borderId="15" xfId="23" applyFont="1" applyFill="1" applyBorder="1" applyAlignment="1">
      <alignment horizontal="center" vertical="center" wrapText="1"/>
      <protection/>
    </xf>
    <xf numFmtId="0" fontId="26" fillId="2" borderId="11" xfId="23" applyFont="1" applyFill="1" applyBorder="1" applyAlignment="1">
      <alignment horizontal="center" vertical="center"/>
      <protection/>
    </xf>
    <xf numFmtId="0" fontId="26" fillId="2" borderId="12" xfId="23" applyFont="1" applyFill="1" applyBorder="1" applyAlignment="1">
      <alignment horizontal="center" vertical="center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2" xfId="22" applyFont="1" applyFill="1" applyBorder="1" applyAlignment="1">
      <alignment horizontal="center" vertical="center" wrapText="1"/>
      <protection/>
    </xf>
    <xf numFmtId="0" fontId="18" fillId="2" borderId="1" xfId="22" applyFont="1" applyFill="1" applyBorder="1" applyAlignment="1">
      <alignment horizontal="center" vertical="center" wrapText="1"/>
      <protection/>
    </xf>
    <xf numFmtId="0" fontId="18" fillId="2" borderId="2" xfId="22" applyFont="1" applyFill="1" applyBorder="1" applyAlignment="1">
      <alignment horizontal="center" vertical="center" wrapText="1"/>
      <protection/>
    </xf>
    <xf numFmtId="0" fontId="27" fillId="2" borderId="13" xfId="23" applyFont="1" applyFill="1" applyBorder="1" applyAlignment="1">
      <alignment horizontal="center"/>
      <protection/>
    </xf>
    <xf numFmtId="0" fontId="27" fillId="2" borderId="14" xfId="23" applyFont="1" applyFill="1" applyBorder="1" applyAlignment="1">
      <alignment horizontal="center"/>
      <protection/>
    </xf>
    <xf numFmtId="0" fontId="28" fillId="2" borderId="15" xfId="23" applyFont="1" applyFill="1" applyBorder="1" applyAlignment="1">
      <alignment horizontal="center" vertical="center" wrapText="1"/>
      <protection/>
    </xf>
    <xf numFmtId="0" fontId="28" fillId="2" borderId="11" xfId="23" applyFont="1" applyFill="1" applyBorder="1" applyAlignment="1">
      <alignment horizontal="center" vertical="center"/>
      <protection/>
    </xf>
    <xf numFmtId="0" fontId="28" fillId="2" borderId="12" xfId="23" applyFont="1" applyFill="1" applyBorder="1" applyAlignment="1">
      <alignment horizontal="center" vertical="center"/>
      <protection/>
    </xf>
    <xf numFmtId="0" fontId="27" fillId="2" borderId="0" xfId="0" applyFont="1" applyFill="1" applyAlignment="1">
      <alignment horizontal="center"/>
    </xf>
    <xf numFmtId="0" fontId="27" fillId="2" borderId="0" xfId="23" applyFont="1" applyFill="1" applyAlignment="1">
      <alignment horizontal="center"/>
      <protection/>
    </xf>
    <xf numFmtId="0" fontId="28" fillId="2" borderId="10" xfId="23" applyFont="1" applyFill="1" applyBorder="1" applyAlignment="1">
      <alignment horizontal="center" vertical="center"/>
      <protection/>
    </xf>
    <xf numFmtId="0" fontId="23" fillId="2" borderId="1" xfId="23" applyFont="1" applyFill="1" applyBorder="1" applyAlignment="1">
      <alignment horizontal="center"/>
      <protection/>
    </xf>
    <xf numFmtId="0" fontId="3" fillId="2" borderId="0" xfId="23" applyFont="1" applyFill="1" applyBorder="1" applyAlignment="1">
      <alignment horizontal="center"/>
      <protection/>
    </xf>
    <xf numFmtId="0" fontId="3" fillId="2" borderId="4" xfId="22" applyFont="1" applyFill="1" applyBorder="1" applyAlignment="1">
      <alignment horizontal="center" vertical="center" wrapText="1"/>
      <protection/>
    </xf>
    <xf numFmtId="174" fontId="3" fillId="2" borderId="9" xfId="22" applyNumberFormat="1" applyFont="1" applyFill="1" applyBorder="1" applyAlignment="1">
      <alignment horizontal="center"/>
      <protection/>
    </xf>
    <xf numFmtId="0" fontId="6" fillId="2" borderId="5" xfId="23" applyFont="1" applyFill="1" applyBorder="1" applyAlignment="1">
      <alignment horizontal="center" vertical="center" wrapText="1"/>
      <protection/>
    </xf>
    <xf numFmtId="0" fontId="17" fillId="2" borderId="13" xfId="23" applyFont="1" applyFill="1" applyBorder="1" applyAlignment="1">
      <alignment horizontal="center" vertical="center" wrapText="1"/>
      <protection/>
    </xf>
    <xf numFmtId="0" fontId="6" fillId="2" borderId="13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left" vertical="center" wrapText="1"/>
      <protection/>
    </xf>
    <xf numFmtId="43" fontId="6" fillId="2" borderId="11" xfId="17" applyFont="1" applyFill="1" applyBorder="1" applyAlignment="1">
      <alignment horizontal="center" vertical="center" wrapText="1"/>
    </xf>
    <xf numFmtId="0" fontId="3" fillId="2" borderId="1" xfId="23" applyFont="1" applyFill="1" applyBorder="1">
      <alignment/>
      <protection/>
    </xf>
    <xf numFmtId="0" fontId="18" fillId="2" borderId="4" xfId="22" applyFont="1" applyFill="1" applyBorder="1" applyAlignment="1">
      <alignment horizontal="center" vertical="center" wrapText="1"/>
      <protection/>
    </xf>
    <xf numFmtId="0" fontId="3" fillId="2" borderId="3" xfId="22" applyFont="1" applyFill="1" applyBorder="1" applyAlignment="1">
      <alignment horizontal="center" vertical="center" wrapText="1"/>
      <protection/>
    </xf>
    <xf numFmtId="0" fontId="18" fillId="2" borderId="3" xfId="22" applyFont="1" applyFill="1" applyBorder="1" applyAlignment="1">
      <alignment horizontal="center" vertical="center" wrapText="1"/>
      <protection/>
    </xf>
    <xf numFmtId="0" fontId="18" fillId="2" borderId="1" xfId="23" applyFont="1" applyFill="1" applyBorder="1">
      <alignment/>
      <protection/>
    </xf>
    <xf numFmtId="174" fontId="3" fillId="2" borderId="4" xfId="22" applyNumberFormat="1" applyFont="1" applyFill="1" applyBorder="1" applyAlignment="1">
      <alignment horizontal="center" vertical="center" wrapText="1"/>
      <protection/>
    </xf>
    <xf numFmtId="174" fontId="3" fillId="2" borderId="2" xfId="22" applyNumberFormat="1" applyFont="1" applyFill="1" applyBorder="1" applyAlignment="1">
      <alignment horizontal="center" vertical="center" wrapText="1"/>
      <protection/>
    </xf>
    <xf numFmtId="0" fontId="6" fillId="2" borderId="4" xfId="22" applyFont="1" applyFill="1" applyBorder="1" applyAlignment="1">
      <alignment vertical="center" wrapText="1"/>
      <protection/>
    </xf>
    <xf numFmtId="0" fontId="6" fillId="2" borderId="4" xfId="22" applyFont="1" applyFill="1" applyBorder="1" applyAlignment="1">
      <alignment horizontal="center" vertical="center" wrapText="1"/>
      <protection/>
    </xf>
    <xf numFmtId="2" fontId="6" fillId="2" borderId="4" xfId="22" applyNumberFormat="1" applyFont="1" applyFill="1" applyBorder="1" applyAlignment="1">
      <alignment horizontal="center" vertical="center" wrapText="1"/>
      <protection/>
    </xf>
    <xf numFmtId="1" fontId="14" fillId="2" borderId="4" xfId="22" applyNumberFormat="1" applyFont="1" applyFill="1" applyBorder="1" applyAlignment="1">
      <alignment horizontal="center" vertical="center" wrapText="1"/>
      <protection/>
    </xf>
    <xf numFmtId="0" fontId="17" fillId="2" borderId="4" xfId="22" applyFont="1" applyFill="1" applyBorder="1" applyAlignment="1">
      <alignment horizontal="center" vertical="center" wrapText="1"/>
      <protection/>
    </xf>
    <xf numFmtId="0" fontId="17" fillId="2" borderId="4" xfId="22" applyFont="1" applyFill="1" applyBorder="1" applyAlignment="1">
      <alignment vertical="center" wrapText="1"/>
      <protection/>
    </xf>
    <xf numFmtId="0" fontId="23" fillId="2" borderId="2" xfId="22" applyFont="1" applyFill="1" applyBorder="1" applyAlignment="1">
      <alignment horizontal="center"/>
      <protection/>
    </xf>
    <xf numFmtId="0" fontId="18" fillId="2" borderId="22" xfId="22" applyFont="1" applyFill="1" applyBorder="1" applyAlignment="1">
      <alignment horizontal="center" vertical="center" wrapText="1"/>
      <protection/>
    </xf>
    <xf numFmtId="0" fontId="18" fillId="2" borderId="23" xfId="22" applyFont="1" applyFill="1" applyBorder="1" applyAlignment="1">
      <alignment horizontal="center" vertical="center" wrapText="1"/>
      <protection/>
    </xf>
    <xf numFmtId="0" fontId="18" fillId="2" borderId="5" xfId="22" applyFont="1" applyFill="1" applyBorder="1" applyAlignment="1">
      <alignment horizontal="center" vertical="center" wrapText="1"/>
      <protection/>
    </xf>
    <xf numFmtId="0" fontId="18" fillId="2" borderId="24" xfId="22" applyFont="1" applyFill="1" applyBorder="1" applyAlignment="1">
      <alignment horizontal="center" vertical="center" wrapText="1"/>
      <protection/>
    </xf>
    <xf numFmtId="0" fontId="3" fillId="2" borderId="25" xfId="22" applyFont="1" applyFill="1" applyBorder="1" applyAlignment="1">
      <alignment horizontal="center" vertical="center" wrapText="1"/>
      <protection/>
    </xf>
    <xf numFmtId="0" fontId="18" fillId="2" borderId="26" xfId="22" applyFont="1" applyFill="1" applyBorder="1" applyAlignment="1">
      <alignment horizontal="center" vertical="center" wrapText="1"/>
      <protection/>
    </xf>
    <xf numFmtId="0" fontId="3" fillId="2" borderId="27" xfId="22" applyFont="1" applyFill="1" applyBorder="1" applyAlignment="1">
      <alignment horizontal="center" vertical="center" wrapText="1"/>
      <protection/>
    </xf>
    <xf numFmtId="0" fontId="18" fillId="2" borderId="28" xfId="22" applyFont="1" applyFill="1" applyBorder="1" applyAlignment="1">
      <alignment horizontal="center" vertical="center" wrapText="1"/>
      <protection/>
    </xf>
    <xf numFmtId="0" fontId="3" fillId="2" borderId="29" xfId="22" applyFont="1" applyFill="1" applyBorder="1" applyAlignment="1">
      <alignment horizontal="center" vertical="center" wrapText="1"/>
      <protection/>
    </xf>
    <xf numFmtId="0" fontId="18" fillId="2" borderId="30" xfId="22" applyFont="1" applyFill="1" applyBorder="1" applyAlignment="1">
      <alignment horizontal="center" vertical="center" wrapText="1"/>
      <protection/>
    </xf>
    <xf numFmtId="0" fontId="3" fillId="2" borderId="31" xfId="22" applyFont="1" applyFill="1" applyBorder="1" applyAlignment="1">
      <alignment horizontal="center" vertical="center" wrapText="1"/>
      <protection/>
    </xf>
    <xf numFmtId="0" fontId="18" fillId="2" borderId="32" xfId="22" applyFont="1" applyFill="1" applyBorder="1" applyAlignment="1">
      <alignment horizontal="center" vertical="center" wrapText="1"/>
      <protection/>
    </xf>
    <xf numFmtId="174" fontId="3" fillId="2" borderId="9" xfId="22" applyNumberFormat="1" applyFont="1" applyFill="1" applyBorder="1" applyAlignment="1">
      <alignment horizontal="center" vertical="center" wrapText="1"/>
      <protection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3" xfId="22" applyFont="1" applyFill="1" applyBorder="1" applyAlignment="1">
      <alignment horizontal="center" vertical="center" wrapText="1"/>
      <protection/>
    </xf>
    <xf numFmtId="0" fontId="18" fillId="2" borderId="34" xfId="22" applyFont="1" applyFill="1" applyBorder="1" applyAlignment="1">
      <alignment horizontal="center" vertical="center" wrapText="1"/>
      <protection/>
    </xf>
    <xf numFmtId="0" fontId="8" fillId="2" borderId="24" xfId="23" applyFont="1" applyFill="1" applyBorder="1" applyAlignment="1">
      <alignment horizontal="center" vertical="center"/>
      <protection/>
    </xf>
    <xf numFmtId="0" fontId="3" fillId="2" borderId="0" xfId="22" applyFont="1" applyFill="1" applyAlignment="1">
      <alignment horizontal="center"/>
      <protection/>
    </xf>
    <xf numFmtId="0" fontId="5" fillId="2" borderId="0" xfId="23" applyFont="1" applyFill="1" applyBorder="1" applyAlignment="1">
      <alignment horizontal="left"/>
      <protection/>
    </xf>
    <xf numFmtId="49" fontId="5" fillId="2" borderId="0" xfId="23" applyNumberFormat="1" applyFont="1" applyFill="1" applyAlignment="1">
      <alignment horizontal="center" vertical="center"/>
      <protection/>
    </xf>
    <xf numFmtId="49" fontId="5" fillId="2" borderId="18" xfId="23" applyNumberFormat="1" applyFont="1" applyFill="1" applyBorder="1" applyAlignment="1">
      <alignment horizontal="center" vertical="center"/>
      <protection/>
    </xf>
    <xf numFmtId="0" fontId="7" fillId="2" borderId="5" xfId="23" applyFont="1" applyFill="1" applyBorder="1" applyAlignment="1">
      <alignment horizontal="center"/>
      <protection/>
    </xf>
    <xf numFmtId="0" fontId="7" fillId="2" borderId="11" xfId="23" applyFont="1" applyFill="1" applyBorder="1" applyAlignment="1">
      <alignment horizontal="center"/>
      <protection/>
    </xf>
    <xf numFmtId="0" fontId="8" fillId="2" borderId="5" xfId="23" applyFont="1" applyFill="1" applyBorder="1" applyAlignment="1">
      <alignment horizontal="center"/>
      <protection/>
    </xf>
    <xf numFmtId="0" fontId="8" fillId="2" borderId="11" xfId="23" applyFont="1" applyFill="1" applyBorder="1" applyAlignment="1">
      <alignment horizontal="center"/>
      <protection/>
    </xf>
    <xf numFmtId="0" fontId="7" fillId="2" borderId="23" xfId="23" applyFont="1" applyFill="1" applyBorder="1" applyAlignment="1">
      <alignment horizontal="center"/>
      <protection/>
    </xf>
    <xf numFmtId="0" fontId="7" fillId="2" borderId="12" xfId="23" applyFont="1" applyFill="1" applyBorder="1" applyAlignment="1">
      <alignment horizontal="center"/>
      <protection/>
    </xf>
    <xf numFmtId="0" fontId="8" fillId="2" borderId="23" xfId="23" applyFont="1" applyFill="1" applyBorder="1" applyAlignment="1">
      <alignment horizontal="center"/>
      <protection/>
    </xf>
    <xf numFmtId="0" fontId="8" fillId="2" borderId="12" xfId="23" applyFont="1" applyFill="1" applyBorder="1" applyAlignment="1">
      <alignment horizontal="center"/>
      <protection/>
    </xf>
    <xf numFmtId="0" fontId="10" fillId="2" borderId="35" xfId="23" applyFont="1" applyFill="1" applyBorder="1" applyAlignment="1">
      <alignment horizontal="left" vertical="center" wrapText="1"/>
      <protection/>
    </xf>
    <xf numFmtId="0" fontId="10" fillId="2" borderId="10" xfId="23" applyFont="1" applyFill="1" applyBorder="1" applyAlignment="1">
      <alignment horizontal="left" vertical="center" wrapText="1"/>
      <protection/>
    </xf>
    <xf numFmtId="0" fontId="4" fillId="2" borderId="36" xfId="23" applyFont="1" applyFill="1" applyBorder="1" applyAlignment="1">
      <alignment horizontal="center" vertical="center"/>
      <protection/>
    </xf>
    <xf numFmtId="0" fontId="4" fillId="2" borderId="8" xfId="23" applyFont="1" applyFill="1" applyBorder="1" applyAlignment="1">
      <alignment horizontal="center" vertical="center"/>
      <protection/>
    </xf>
    <xf numFmtId="0" fontId="4" fillId="2" borderId="3" xfId="23" applyFont="1" applyFill="1" applyBorder="1" applyAlignment="1">
      <alignment horizontal="center" vertical="center"/>
      <protection/>
    </xf>
    <xf numFmtId="0" fontId="8" fillId="2" borderId="37" xfId="23" applyFont="1" applyFill="1" applyBorder="1" applyAlignment="1">
      <alignment horizontal="left" vertical="center"/>
      <protection/>
    </xf>
    <xf numFmtId="0" fontId="8" fillId="2" borderId="11" xfId="23" applyFont="1" applyFill="1" applyBorder="1" applyAlignment="1">
      <alignment horizontal="left" vertical="center"/>
      <protection/>
    </xf>
    <xf numFmtId="0" fontId="8" fillId="2" borderId="7" xfId="23" applyFont="1" applyFill="1" applyBorder="1" applyAlignment="1">
      <alignment horizontal="center" vertical="center"/>
      <protection/>
    </xf>
    <xf numFmtId="0" fontId="8" fillId="2" borderId="14" xfId="23" applyFont="1" applyFill="1" applyBorder="1" applyAlignment="1">
      <alignment horizontal="center" vertical="center"/>
      <protection/>
    </xf>
    <xf numFmtId="0" fontId="8" fillId="2" borderId="38" xfId="23" applyFont="1" applyFill="1" applyBorder="1" applyAlignment="1">
      <alignment horizontal="center" vertical="center"/>
      <protection/>
    </xf>
    <xf numFmtId="0" fontId="8" fillId="2" borderId="20" xfId="23" applyFont="1" applyFill="1" applyBorder="1" applyAlignment="1">
      <alignment horizontal="center" vertical="center"/>
      <protection/>
    </xf>
    <xf numFmtId="0" fontId="8" fillId="2" borderId="21" xfId="23" applyFont="1" applyFill="1" applyBorder="1" applyAlignment="1">
      <alignment horizontal="center" vertical="center"/>
      <protection/>
    </xf>
    <xf numFmtId="0" fontId="8" fillId="2" borderId="39" xfId="23" applyFont="1" applyFill="1" applyBorder="1" applyAlignment="1">
      <alignment horizontal="left" vertical="center"/>
      <protection/>
    </xf>
    <xf numFmtId="0" fontId="8" fillId="2" borderId="12" xfId="23" applyFont="1" applyFill="1" applyBorder="1" applyAlignment="1">
      <alignment horizontal="left" vertical="center"/>
      <protection/>
    </xf>
    <xf numFmtId="0" fontId="8" fillId="2" borderId="40" xfId="23" applyFont="1" applyFill="1" applyBorder="1" applyAlignment="1">
      <alignment horizontal="left" vertical="center"/>
      <protection/>
    </xf>
    <xf numFmtId="0" fontId="8" fillId="2" borderId="21" xfId="23" applyFont="1" applyFill="1" applyBorder="1" applyAlignment="1">
      <alignment horizontal="left" vertical="center"/>
      <protection/>
    </xf>
    <xf numFmtId="0" fontId="5" fillId="2" borderId="0" xfId="23" applyFont="1" applyFill="1" applyAlignment="1">
      <alignment horizontal="center"/>
      <protection/>
    </xf>
    <xf numFmtId="0" fontId="10" fillId="2" borderId="35" xfId="23" applyFont="1" applyFill="1" applyBorder="1" applyAlignment="1">
      <alignment horizontal="left" vertical="center"/>
      <protection/>
    </xf>
    <xf numFmtId="0" fontId="10" fillId="2" borderId="10" xfId="23" applyFont="1" applyFill="1" applyBorder="1" applyAlignment="1">
      <alignment horizontal="left" vertical="center"/>
      <protection/>
    </xf>
    <xf numFmtId="0" fontId="22" fillId="2" borderId="0" xfId="23" applyFont="1" applyFill="1" applyBorder="1" applyAlignment="1">
      <alignment horizontal="left"/>
      <protection/>
    </xf>
    <xf numFmtId="0" fontId="17" fillId="2" borderId="6" xfId="23" applyFont="1" applyFill="1" applyBorder="1" applyAlignment="1">
      <alignment horizontal="center" vertical="center" wrapText="1"/>
      <protection/>
    </xf>
    <xf numFmtId="0" fontId="29" fillId="2" borderId="1" xfId="23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_Firmliiga 2" xfId="17"/>
    <cellStyle name="Currency" xfId="18"/>
    <cellStyle name="Currency [0]" xfId="19"/>
    <cellStyle name="Followed Hyperlink" xfId="20"/>
    <cellStyle name="Hyperlink" xfId="21"/>
    <cellStyle name="Normal_Firmaliiga" xfId="22"/>
    <cellStyle name="Normal_Firmliiga 2" xfId="23"/>
    <cellStyle name="Percent" xfId="24"/>
  </cellStyles>
  <dxfs count="7">
    <dxf>
      <font>
        <b/>
        <i val="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800000"/>
      </font>
      <fill>
        <patternFill patternType="none">
          <bgColor indexed="65"/>
        </patternFill>
      </fill>
      <border/>
    </dxf>
    <dxf>
      <font>
        <b/>
        <i val="0"/>
        <color rgb="FF80008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1"/>
  <sheetViews>
    <sheetView tabSelected="1" zoomScale="80" zoomScaleNormal="80" workbookViewId="0" topLeftCell="A1">
      <selection activeCell="A4" sqref="A4"/>
    </sheetView>
  </sheetViews>
  <sheetFormatPr defaultColWidth="9.140625" defaultRowHeight="12.75"/>
  <cols>
    <col min="1" max="1" width="4.28125" style="2" customWidth="1"/>
    <col min="2" max="2" width="20.140625" style="5" customWidth="1"/>
    <col min="3" max="3" width="5.421875" style="5" customWidth="1"/>
    <col min="4" max="4" width="7.00390625" style="1" customWidth="1"/>
    <col min="5" max="5" width="11.28125" style="15" customWidth="1"/>
    <col min="6" max="6" width="8.140625" style="15" customWidth="1"/>
    <col min="7" max="7" width="11.421875" style="77" customWidth="1"/>
    <col min="8" max="8" width="6.28125" style="5" customWidth="1"/>
    <col min="9" max="9" width="6.28125" style="128" customWidth="1"/>
    <col min="10" max="10" width="6.140625" style="5" customWidth="1"/>
    <col min="11" max="11" width="6.28125" style="128" customWidth="1"/>
    <col min="12" max="12" width="6.28125" style="5" customWidth="1"/>
    <col min="13" max="13" width="6.28125" style="128" customWidth="1"/>
    <col min="14" max="14" width="6.28125" style="5" customWidth="1"/>
    <col min="15" max="15" width="6.28125" style="128" customWidth="1"/>
    <col min="16" max="16" width="6.28125" style="5" customWidth="1"/>
    <col min="17" max="17" width="6.28125" style="128" bestFit="1" customWidth="1"/>
    <col min="18" max="18" width="6.28125" style="5" bestFit="1" customWidth="1"/>
    <col min="19" max="19" width="6.28125" style="128" customWidth="1"/>
    <col min="20" max="20" width="6.421875" style="5" customWidth="1"/>
    <col min="21" max="21" width="6.28125" style="5" customWidth="1"/>
    <col min="22" max="16384" width="9.140625" style="5" customWidth="1"/>
  </cols>
  <sheetData>
    <row r="1" ht="5.25" customHeight="1"/>
    <row r="2" spans="2:9" ht="23.25">
      <c r="B2" s="3" t="s">
        <v>30</v>
      </c>
      <c r="C2" s="3"/>
      <c r="D2" s="205" t="s">
        <v>34</v>
      </c>
      <c r="E2" s="205"/>
      <c r="F2" s="1"/>
      <c r="H2" s="4"/>
      <c r="I2" s="123"/>
    </row>
    <row r="4" spans="1:21" s="113" customFormat="1" ht="25.5" customHeight="1" thickBot="1">
      <c r="A4" s="178" t="s">
        <v>31</v>
      </c>
      <c r="B4" s="181" t="s">
        <v>0</v>
      </c>
      <c r="C4" s="181" t="s">
        <v>364</v>
      </c>
      <c r="D4" s="181" t="s">
        <v>12</v>
      </c>
      <c r="E4" s="182" t="s">
        <v>111</v>
      </c>
      <c r="F4" s="182" t="s">
        <v>42</v>
      </c>
      <c r="G4" s="183" t="s">
        <v>25</v>
      </c>
      <c r="H4" s="181" t="s">
        <v>19</v>
      </c>
      <c r="I4" s="184" t="s">
        <v>60</v>
      </c>
      <c r="J4" s="181" t="s">
        <v>32</v>
      </c>
      <c r="K4" s="184" t="s">
        <v>61</v>
      </c>
      <c r="L4" s="181" t="s">
        <v>21</v>
      </c>
      <c r="M4" s="184" t="s">
        <v>62</v>
      </c>
      <c r="N4" s="166" t="s">
        <v>22</v>
      </c>
      <c r="O4" s="174" t="s">
        <v>63</v>
      </c>
      <c r="P4" s="181" t="s">
        <v>23</v>
      </c>
      <c r="Q4" s="184" t="s">
        <v>64</v>
      </c>
      <c r="R4" s="181" t="s">
        <v>33</v>
      </c>
      <c r="S4" s="184" t="s">
        <v>65</v>
      </c>
      <c r="T4" s="180" t="s">
        <v>365</v>
      </c>
      <c r="U4" s="185" t="s">
        <v>366</v>
      </c>
    </row>
    <row r="5" spans="1:21" s="113" customFormat="1" ht="15" customHeight="1">
      <c r="A5" s="7">
        <v>1</v>
      </c>
      <c r="B5" s="8" t="s">
        <v>200</v>
      </c>
      <c r="C5" s="9">
        <v>5</v>
      </c>
      <c r="D5" s="9">
        <f>2+3+3+4+4+3</f>
        <v>19</v>
      </c>
      <c r="E5" s="80">
        <f aca="true" t="shared" si="0" ref="E5:E10">AVERAGE(H5,J5,L5,N5,P5,R5)/15</f>
        <v>181.5888888888889</v>
      </c>
      <c r="F5" s="80">
        <f aca="true" t="shared" si="1" ref="F5:F10">AVERAGE(I5,K5,M5,O5,Q5,S5)/15</f>
        <v>152.92222222222225</v>
      </c>
      <c r="G5" s="78">
        <f aca="true" t="shared" si="2" ref="G5:G10">(H5+J5+L5+N5+P5+R5)</f>
        <v>16343</v>
      </c>
      <c r="H5" s="9">
        <v>2721</v>
      </c>
      <c r="I5" s="124">
        <v>2391</v>
      </c>
      <c r="J5" s="9">
        <v>2804</v>
      </c>
      <c r="K5" s="124">
        <v>2249</v>
      </c>
      <c r="L5" s="9">
        <v>2750</v>
      </c>
      <c r="M5" s="124">
        <v>2420</v>
      </c>
      <c r="N5" s="9">
        <v>2543</v>
      </c>
      <c r="O5" s="124">
        <v>2203</v>
      </c>
      <c r="P5" s="153">
        <v>2765</v>
      </c>
      <c r="Q5" s="155">
        <v>2265</v>
      </c>
      <c r="R5" s="153">
        <v>2760</v>
      </c>
      <c r="S5" s="187">
        <v>2235</v>
      </c>
      <c r="T5" s="191">
        <v>2959</v>
      </c>
      <c r="U5" s="192">
        <v>2449</v>
      </c>
    </row>
    <row r="6" spans="1:21" s="113" customFormat="1" ht="15" customHeight="1">
      <c r="A6" s="114">
        <f>A5+1</f>
        <v>2</v>
      </c>
      <c r="B6" s="10" t="s">
        <v>59</v>
      </c>
      <c r="C6" s="6">
        <v>3</v>
      </c>
      <c r="D6" s="6">
        <f>4+5+5+3+1+1</f>
        <v>19</v>
      </c>
      <c r="E6" s="115">
        <f t="shared" si="0"/>
        <v>182.42222222222225</v>
      </c>
      <c r="F6" s="115">
        <f t="shared" si="1"/>
        <v>152.03333333333333</v>
      </c>
      <c r="G6" s="116">
        <f t="shared" si="2"/>
        <v>16418</v>
      </c>
      <c r="H6" s="6">
        <v>2737</v>
      </c>
      <c r="I6" s="125">
        <v>2242</v>
      </c>
      <c r="J6" s="130">
        <v>3001</v>
      </c>
      <c r="K6" s="125">
        <v>2516</v>
      </c>
      <c r="L6" s="6">
        <v>2878</v>
      </c>
      <c r="M6" s="125">
        <v>2293</v>
      </c>
      <c r="N6" s="6">
        <v>2582</v>
      </c>
      <c r="O6" s="125">
        <v>2222</v>
      </c>
      <c r="P6" s="153">
        <v>2706</v>
      </c>
      <c r="Q6" s="155">
        <v>2306</v>
      </c>
      <c r="R6" s="153">
        <v>2514</v>
      </c>
      <c r="S6" s="187">
        <v>2104</v>
      </c>
      <c r="T6" s="193">
        <v>2772</v>
      </c>
      <c r="U6" s="194">
        <v>2332</v>
      </c>
    </row>
    <row r="7" spans="1:21" s="113" customFormat="1" ht="15" customHeight="1">
      <c r="A7" s="114">
        <f>A6+1</f>
        <v>3</v>
      </c>
      <c r="B7" s="10" t="s">
        <v>197</v>
      </c>
      <c r="C7" s="6">
        <v>2.5</v>
      </c>
      <c r="D7" s="6">
        <f>4+2+3+5+4+2</f>
        <v>20</v>
      </c>
      <c r="E7" s="115">
        <f t="shared" si="0"/>
        <v>185.46666666666667</v>
      </c>
      <c r="F7" s="115">
        <f t="shared" si="1"/>
        <v>162.9111111111111</v>
      </c>
      <c r="G7" s="116">
        <f t="shared" si="2"/>
        <v>16692</v>
      </c>
      <c r="H7" s="6">
        <v>2778</v>
      </c>
      <c r="I7" s="125">
        <v>2493</v>
      </c>
      <c r="J7" s="6">
        <v>2657</v>
      </c>
      <c r="K7" s="125">
        <v>2372</v>
      </c>
      <c r="L7" s="6">
        <v>2794</v>
      </c>
      <c r="M7" s="125">
        <v>2459</v>
      </c>
      <c r="N7" s="6">
        <v>2813</v>
      </c>
      <c r="O7" s="125">
        <v>2483</v>
      </c>
      <c r="P7" s="153">
        <v>2846</v>
      </c>
      <c r="Q7" s="155">
        <v>2531</v>
      </c>
      <c r="R7" s="153">
        <v>2804</v>
      </c>
      <c r="S7" s="187">
        <v>2324</v>
      </c>
      <c r="T7" s="193">
        <v>2906</v>
      </c>
      <c r="U7" s="194">
        <v>2586</v>
      </c>
    </row>
    <row r="8" spans="1:21" s="113" customFormat="1" ht="15" customHeight="1">
      <c r="A8" s="114">
        <f>A7+1</f>
        <v>4</v>
      </c>
      <c r="B8" s="10" t="s">
        <v>78</v>
      </c>
      <c r="C8" s="6">
        <v>2</v>
      </c>
      <c r="D8" s="6">
        <f>4+4+3.5+1+4+2</f>
        <v>18.5</v>
      </c>
      <c r="E8" s="115">
        <f t="shared" si="0"/>
        <v>184.4</v>
      </c>
      <c r="F8" s="115">
        <f t="shared" si="1"/>
        <v>162.4</v>
      </c>
      <c r="G8" s="116">
        <f t="shared" si="2"/>
        <v>16596</v>
      </c>
      <c r="H8" s="6">
        <v>2925</v>
      </c>
      <c r="I8" s="125">
        <v>2550</v>
      </c>
      <c r="J8" s="6">
        <v>2716</v>
      </c>
      <c r="K8" s="125">
        <v>2476</v>
      </c>
      <c r="L8" s="6">
        <v>2764</v>
      </c>
      <c r="M8" s="125">
        <v>2499</v>
      </c>
      <c r="N8" s="6">
        <v>2471</v>
      </c>
      <c r="O8" s="125">
        <v>2201</v>
      </c>
      <c r="P8" s="153">
        <v>2966</v>
      </c>
      <c r="Q8" s="155">
        <v>2471</v>
      </c>
      <c r="R8" s="153">
        <v>2754</v>
      </c>
      <c r="S8" s="187">
        <v>2419</v>
      </c>
      <c r="T8" s="193">
        <v>2737</v>
      </c>
      <c r="U8" s="194">
        <v>2402</v>
      </c>
    </row>
    <row r="9" spans="1:21" s="113" customFormat="1" ht="15" customHeight="1">
      <c r="A9" s="114">
        <f>A8+1</f>
        <v>5</v>
      </c>
      <c r="B9" s="10" t="s">
        <v>107</v>
      </c>
      <c r="C9" s="6">
        <v>1.5</v>
      </c>
      <c r="D9" s="6">
        <f>4+3+5+3+2+4</f>
        <v>21</v>
      </c>
      <c r="E9" s="115">
        <f t="shared" si="0"/>
        <v>188.37777777777777</v>
      </c>
      <c r="F9" s="115">
        <f t="shared" si="1"/>
        <v>161.15555555555557</v>
      </c>
      <c r="G9" s="116">
        <f t="shared" si="2"/>
        <v>16954</v>
      </c>
      <c r="H9" s="6">
        <v>2604</v>
      </c>
      <c r="I9" s="125">
        <v>2129</v>
      </c>
      <c r="J9" s="6">
        <v>2812</v>
      </c>
      <c r="K9" s="125">
        <v>2407</v>
      </c>
      <c r="L9" s="6">
        <v>2772</v>
      </c>
      <c r="M9" s="125">
        <v>2362</v>
      </c>
      <c r="N9" s="6">
        <v>2750</v>
      </c>
      <c r="O9" s="125">
        <v>2350</v>
      </c>
      <c r="P9" s="153">
        <v>2969</v>
      </c>
      <c r="Q9" s="155">
        <v>2569</v>
      </c>
      <c r="R9" s="153">
        <v>3047</v>
      </c>
      <c r="S9" s="187">
        <v>2687</v>
      </c>
      <c r="T9" s="193">
        <v>2704</v>
      </c>
      <c r="U9" s="194">
        <v>2379</v>
      </c>
    </row>
    <row r="10" spans="1:21" s="113" customFormat="1" ht="15" customHeight="1" thickBot="1">
      <c r="A10" s="178">
        <f aca="true" t="shared" si="3" ref="A10:A17">A9+1</f>
        <v>6</v>
      </c>
      <c r="B10" s="13" t="s">
        <v>245</v>
      </c>
      <c r="C10" s="14">
        <v>1</v>
      </c>
      <c r="D10" s="14">
        <f>5+3+2+4+4+3</f>
        <v>21</v>
      </c>
      <c r="E10" s="81">
        <f t="shared" si="0"/>
        <v>186.5888888888889</v>
      </c>
      <c r="F10" s="81">
        <f t="shared" si="1"/>
        <v>152.86666666666667</v>
      </c>
      <c r="G10" s="79">
        <f t="shared" si="2"/>
        <v>16793</v>
      </c>
      <c r="H10" s="14">
        <v>2998</v>
      </c>
      <c r="I10" s="126">
        <v>2293</v>
      </c>
      <c r="J10" s="14">
        <v>2795</v>
      </c>
      <c r="K10" s="126">
        <v>2355</v>
      </c>
      <c r="L10" s="14">
        <v>2655</v>
      </c>
      <c r="M10" s="126">
        <v>2235</v>
      </c>
      <c r="N10" s="14">
        <v>2694</v>
      </c>
      <c r="O10" s="126">
        <v>2189</v>
      </c>
      <c r="P10" s="166">
        <v>2781</v>
      </c>
      <c r="Q10" s="174">
        <v>2271</v>
      </c>
      <c r="R10" s="166">
        <v>2870</v>
      </c>
      <c r="S10" s="188">
        <v>2415</v>
      </c>
      <c r="T10" s="195">
        <v>2709</v>
      </c>
      <c r="U10" s="196">
        <v>2239</v>
      </c>
    </row>
    <row r="11" spans="1:21" s="113" customFormat="1" ht="15" customHeight="1">
      <c r="A11" s="179">
        <f t="shared" si="3"/>
        <v>7</v>
      </c>
      <c r="B11" s="8" t="s">
        <v>233</v>
      </c>
      <c r="C11" s="9">
        <v>4</v>
      </c>
      <c r="D11" s="9">
        <f>0+3+3+4+4+4</f>
        <v>18</v>
      </c>
      <c r="E11" s="80">
        <f aca="true" t="shared" si="4" ref="E11:F16">AVERAGE(H11,J11,L11,N11,P11,R11)/15</f>
        <v>185.6</v>
      </c>
      <c r="F11" s="80">
        <f t="shared" si="4"/>
        <v>151.87777777777777</v>
      </c>
      <c r="G11" s="78">
        <f aca="true" t="shared" si="5" ref="G11:G16">(H11+J11+L11+N11+P11+R11)</f>
        <v>16704</v>
      </c>
      <c r="H11" s="9">
        <v>2725</v>
      </c>
      <c r="I11" s="124">
        <v>2240</v>
      </c>
      <c r="J11" s="9">
        <v>2782</v>
      </c>
      <c r="K11" s="124">
        <v>2277</v>
      </c>
      <c r="L11" s="9">
        <v>2839</v>
      </c>
      <c r="M11" s="124">
        <v>2189</v>
      </c>
      <c r="N11" s="153">
        <v>2752</v>
      </c>
      <c r="O11" s="155">
        <v>2222</v>
      </c>
      <c r="P11" s="153">
        <v>2827</v>
      </c>
      <c r="Q11" s="155">
        <v>2387</v>
      </c>
      <c r="R11" s="153">
        <v>2779</v>
      </c>
      <c r="S11" s="187">
        <v>2354</v>
      </c>
      <c r="T11" s="193">
        <v>2806</v>
      </c>
      <c r="U11" s="194">
        <v>2361</v>
      </c>
    </row>
    <row r="12" spans="1:21" s="113" customFormat="1" ht="15" customHeight="1">
      <c r="A12" s="179">
        <f t="shared" si="3"/>
        <v>8</v>
      </c>
      <c r="B12" s="10" t="s">
        <v>139</v>
      </c>
      <c r="C12" s="6">
        <v>3</v>
      </c>
      <c r="D12" s="6">
        <f>2+4+5+2+2+2</f>
        <v>17</v>
      </c>
      <c r="E12" s="115">
        <f t="shared" si="4"/>
        <v>179.17777777777778</v>
      </c>
      <c r="F12" s="115">
        <f t="shared" si="4"/>
        <v>132.51111111111112</v>
      </c>
      <c r="G12" s="116">
        <f t="shared" si="5"/>
        <v>16126</v>
      </c>
      <c r="H12" s="6">
        <v>2669</v>
      </c>
      <c r="I12" s="125">
        <v>1919</v>
      </c>
      <c r="J12" s="6">
        <v>2764</v>
      </c>
      <c r="K12" s="125">
        <v>2029</v>
      </c>
      <c r="L12" s="6">
        <v>2842</v>
      </c>
      <c r="M12" s="125">
        <v>2142</v>
      </c>
      <c r="N12" s="6">
        <v>2598</v>
      </c>
      <c r="O12" s="125">
        <v>1943</v>
      </c>
      <c r="P12" s="152">
        <v>2621</v>
      </c>
      <c r="Q12" s="154">
        <v>1946</v>
      </c>
      <c r="R12" s="152">
        <v>2632</v>
      </c>
      <c r="S12" s="189">
        <v>1947</v>
      </c>
      <c r="T12" s="193">
        <v>2736</v>
      </c>
      <c r="U12" s="194">
        <v>2046</v>
      </c>
    </row>
    <row r="13" spans="1:21" s="113" customFormat="1" ht="15" customHeight="1">
      <c r="A13" s="179">
        <f t="shared" si="3"/>
        <v>9</v>
      </c>
      <c r="B13" s="8" t="s">
        <v>76</v>
      </c>
      <c r="C13" s="9">
        <v>3</v>
      </c>
      <c r="D13" s="9">
        <f>3+3+3+2+3+3</f>
        <v>17</v>
      </c>
      <c r="E13" s="80">
        <f t="shared" si="4"/>
        <v>180.52222222222224</v>
      </c>
      <c r="F13" s="80">
        <f t="shared" si="4"/>
        <v>144.24444444444444</v>
      </c>
      <c r="G13" s="78">
        <f t="shared" si="5"/>
        <v>16247</v>
      </c>
      <c r="H13" s="9">
        <v>2707</v>
      </c>
      <c r="I13" s="124">
        <v>2112</v>
      </c>
      <c r="J13" s="9">
        <v>2817</v>
      </c>
      <c r="K13" s="124">
        <v>2282</v>
      </c>
      <c r="L13" s="9">
        <v>2805</v>
      </c>
      <c r="M13" s="124">
        <v>2255</v>
      </c>
      <c r="N13" s="9">
        <v>2523</v>
      </c>
      <c r="O13" s="124">
        <v>2003</v>
      </c>
      <c r="P13" s="153">
        <v>2678</v>
      </c>
      <c r="Q13" s="155">
        <v>2118</v>
      </c>
      <c r="R13" s="153">
        <v>2717</v>
      </c>
      <c r="S13" s="187">
        <v>2212</v>
      </c>
      <c r="T13" s="197">
        <v>2708</v>
      </c>
      <c r="U13" s="198">
        <v>2138</v>
      </c>
    </row>
    <row r="14" spans="1:21" s="113" customFormat="1" ht="15" customHeight="1">
      <c r="A14" s="179">
        <f t="shared" si="3"/>
        <v>10</v>
      </c>
      <c r="B14" s="10" t="s">
        <v>75</v>
      </c>
      <c r="C14" s="6">
        <v>2</v>
      </c>
      <c r="D14" s="6">
        <f>2+4+3+3+2+4</f>
        <v>18</v>
      </c>
      <c r="E14" s="80">
        <f t="shared" si="4"/>
        <v>184.64444444444445</v>
      </c>
      <c r="F14" s="80">
        <f t="shared" si="4"/>
        <v>149.42222222222225</v>
      </c>
      <c r="G14" s="78">
        <f t="shared" si="5"/>
        <v>16618</v>
      </c>
      <c r="H14" s="6">
        <v>2661</v>
      </c>
      <c r="I14" s="125">
        <v>2151</v>
      </c>
      <c r="J14" s="6">
        <v>2831</v>
      </c>
      <c r="K14" s="125">
        <v>2271</v>
      </c>
      <c r="L14" s="6">
        <v>2791</v>
      </c>
      <c r="M14" s="125">
        <v>2306</v>
      </c>
      <c r="N14" s="6">
        <v>2781</v>
      </c>
      <c r="O14" s="125">
        <v>2286</v>
      </c>
      <c r="P14" s="153">
        <v>2720</v>
      </c>
      <c r="Q14" s="155">
        <v>2240</v>
      </c>
      <c r="R14" s="153">
        <v>2834</v>
      </c>
      <c r="S14" s="187">
        <v>2194</v>
      </c>
      <c r="T14" s="193">
        <v>2721</v>
      </c>
      <c r="U14" s="194">
        <v>2286</v>
      </c>
    </row>
    <row r="15" spans="1:21" s="113" customFormat="1" ht="15" customHeight="1">
      <c r="A15" s="179">
        <f t="shared" si="3"/>
        <v>11</v>
      </c>
      <c r="B15" s="10" t="s">
        <v>191</v>
      </c>
      <c r="C15" s="6">
        <v>2</v>
      </c>
      <c r="D15" s="6">
        <f>2+4+1+3+4+3</f>
        <v>17</v>
      </c>
      <c r="E15" s="115">
        <f t="shared" si="4"/>
        <v>181.7111111111111</v>
      </c>
      <c r="F15" s="115">
        <f t="shared" si="4"/>
        <v>149.04444444444442</v>
      </c>
      <c r="G15" s="116">
        <f t="shared" si="5"/>
        <v>16354</v>
      </c>
      <c r="H15" s="6">
        <v>2822</v>
      </c>
      <c r="I15" s="125">
        <v>2167</v>
      </c>
      <c r="J15" s="6">
        <v>2910</v>
      </c>
      <c r="K15" s="125">
        <v>2395</v>
      </c>
      <c r="L15" s="6">
        <v>2632</v>
      </c>
      <c r="M15" s="125">
        <v>2212</v>
      </c>
      <c r="N15" s="6">
        <v>2549</v>
      </c>
      <c r="O15" s="125">
        <v>2169</v>
      </c>
      <c r="P15" s="152">
        <v>2728</v>
      </c>
      <c r="Q15" s="154">
        <v>2243</v>
      </c>
      <c r="R15" s="152">
        <v>2713</v>
      </c>
      <c r="S15" s="189">
        <v>2228</v>
      </c>
      <c r="T15" s="193">
        <v>2627</v>
      </c>
      <c r="U15" s="194">
        <v>2067</v>
      </c>
    </row>
    <row r="16" spans="1:21" s="113" customFormat="1" ht="15" customHeight="1" thickBot="1">
      <c r="A16" s="178">
        <f t="shared" si="3"/>
        <v>12</v>
      </c>
      <c r="B16" s="200" t="s">
        <v>105</v>
      </c>
      <c r="C16" s="201">
        <v>1</v>
      </c>
      <c r="D16" s="11">
        <f>4+3+2.5+4+2+3</f>
        <v>18.5</v>
      </c>
      <c r="E16" s="131">
        <f t="shared" si="4"/>
        <v>183.6888888888889</v>
      </c>
      <c r="F16" s="131">
        <f t="shared" si="4"/>
        <v>154.24444444444444</v>
      </c>
      <c r="G16" s="132">
        <f t="shared" si="5"/>
        <v>16532</v>
      </c>
      <c r="H16" s="11">
        <v>2757</v>
      </c>
      <c r="I16" s="127">
        <v>2292</v>
      </c>
      <c r="J16" s="11">
        <v>2800</v>
      </c>
      <c r="K16" s="127">
        <v>2355</v>
      </c>
      <c r="L16" s="11">
        <v>2615</v>
      </c>
      <c r="M16" s="127">
        <v>2195</v>
      </c>
      <c r="N16" s="11">
        <v>2810</v>
      </c>
      <c r="O16" s="127">
        <v>2360</v>
      </c>
      <c r="P16" s="175">
        <v>2786</v>
      </c>
      <c r="Q16" s="176">
        <v>2346</v>
      </c>
      <c r="R16" s="175">
        <v>2764</v>
      </c>
      <c r="S16" s="190">
        <v>2334</v>
      </c>
      <c r="T16" s="202">
        <v>2620</v>
      </c>
      <c r="U16" s="203">
        <v>2190</v>
      </c>
    </row>
    <row r="17" spans="1:21" s="113" customFormat="1" ht="15" customHeight="1">
      <c r="A17" s="199">
        <f t="shared" si="3"/>
        <v>13</v>
      </c>
      <c r="B17" s="8" t="s">
        <v>137</v>
      </c>
      <c r="C17" s="9">
        <v>4</v>
      </c>
      <c r="D17" s="9">
        <f>3+2+3+4+1+3</f>
        <v>16</v>
      </c>
      <c r="E17" s="80">
        <f aca="true" t="shared" si="6" ref="E17:F22">AVERAGE(H17,J17,L17,N17,P17,R17)/15</f>
        <v>178.04444444444442</v>
      </c>
      <c r="F17" s="80">
        <f t="shared" si="6"/>
        <v>119.71111111111112</v>
      </c>
      <c r="G17" s="78">
        <f aca="true" t="shared" si="7" ref="G17:G22">(H17+J17+L17+N17+P17+R17)</f>
        <v>16024</v>
      </c>
      <c r="H17" s="9">
        <v>2503</v>
      </c>
      <c r="I17" s="124">
        <v>1603</v>
      </c>
      <c r="J17" s="9">
        <v>2628</v>
      </c>
      <c r="K17" s="124">
        <v>1728</v>
      </c>
      <c r="L17" s="9">
        <v>2693</v>
      </c>
      <c r="M17" s="124">
        <v>1793</v>
      </c>
      <c r="N17" s="9">
        <v>2768</v>
      </c>
      <c r="O17" s="124">
        <v>1888</v>
      </c>
      <c r="P17" s="153">
        <v>2751</v>
      </c>
      <c r="Q17" s="155">
        <v>1901</v>
      </c>
      <c r="R17" s="153">
        <v>2681</v>
      </c>
      <c r="S17" s="187">
        <v>1861</v>
      </c>
      <c r="T17" s="197">
        <v>2898</v>
      </c>
      <c r="U17" s="198">
        <v>2088</v>
      </c>
    </row>
    <row r="18" spans="1:21" s="113" customFormat="1" ht="15" customHeight="1">
      <c r="A18" s="7">
        <f aca="true" t="shared" si="8" ref="A18:A28">A17+1</f>
        <v>14</v>
      </c>
      <c r="B18" s="10" t="s">
        <v>77</v>
      </c>
      <c r="C18" s="6">
        <v>3.5</v>
      </c>
      <c r="D18" s="6">
        <f>1+4+2+4+4+1</f>
        <v>16</v>
      </c>
      <c r="E18" s="80">
        <f t="shared" si="6"/>
        <v>177.77777777777777</v>
      </c>
      <c r="F18" s="80">
        <f t="shared" si="6"/>
        <v>123.94444444444444</v>
      </c>
      <c r="G18" s="78">
        <f t="shared" si="7"/>
        <v>16000</v>
      </c>
      <c r="H18" s="6">
        <v>2626</v>
      </c>
      <c r="I18" s="125">
        <v>1786</v>
      </c>
      <c r="J18" s="6">
        <v>2791</v>
      </c>
      <c r="K18" s="125">
        <v>1961</v>
      </c>
      <c r="L18" s="6">
        <v>2585</v>
      </c>
      <c r="M18" s="125">
        <v>1770</v>
      </c>
      <c r="N18" s="153">
        <v>2712</v>
      </c>
      <c r="O18" s="155">
        <v>1917</v>
      </c>
      <c r="P18" s="153">
        <v>2687</v>
      </c>
      <c r="Q18" s="155">
        <v>1902</v>
      </c>
      <c r="R18" s="153">
        <v>2599</v>
      </c>
      <c r="S18" s="187">
        <v>1819</v>
      </c>
      <c r="T18" s="193">
        <v>2767</v>
      </c>
      <c r="U18" s="194">
        <v>1977</v>
      </c>
    </row>
    <row r="19" spans="1:21" s="113" customFormat="1" ht="15" customHeight="1">
      <c r="A19" s="7">
        <f t="shared" si="8"/>
        <v>15</v>
      </c>
      <c r="B19" s="10" t="s">
        <v>192</v>
      </c>
      <c r="C19" s="6">
        <v>2</v>
      </c>
      <c r="D19" s="6">
        <f>3+2+4+0+2+4</f>
        <v>15</v>
      </c>
      <c r="E19" s="115">
        <f t="shared" si="6"/>
        <v>182.36666666666667</v>
      </c>
      <c r="F19" s="115">
        <f t="shared" si="6"/>
        <v>155.14444444444445</v>
      </c>
      <c r="G19" s="116">
        <f t="shared" si="7"/>
        <v>16413</v>
      </c>
      <c r="H19" s="6">
        <v>2823</v>
      </c>
      <c r="I19" s="125">
        <v>2378</v>
      </c>
      <c r="J19" s="6">
        <v>2720</v>
      </c>
      <c r="K19" s="125">
        <v>2345</v>
      </c>
      <c r="L19" s="6">
        <v>2789</v>
      </c>
      <c r="M19" s="125">
        <v>2394</v>
      </c>
      <c r="N19" s="6">
        <v>2539</v>
      </c>
      <c r="O19" s="125">
        <v>2159</v>
      </c>
      <c r="P19" s="152">
        <v>2726</v>
      </c>
      <c r="Q19" s="154">
        <v>2301</v>
      </c>
      <c r="R19" s="152">
        <v>2816</v>
      </c>
      <c r="S19" s="189">
        <v>2386</v>
      </c>
      <c r="T19" s="193">
        <v>2810</v>
      </c>
      <c r="U19" s="194">
        <v>2395</v>
      </c>
    </row>
    <row r="20" spans="1:21" s="113" customFormat="1" ht="15" customHeight="1">
      <c r="A20" s="7">
        <f t="shared" si="8"/>
        <v>16</v>
      </c>
      <c r="B20" s="8" t="s">
        <v>36</v>
      </c>
      <c r="C20" s="9">
        <v>2</v>
      </c>
      <c r="D20" s="9">
        <f>4+5+1+2+1+3</f>
        <v>16</v>
      </c>
      <c r="E20" s="80">
        <f t="shared" si="6"/>
        <v>182.64444444444445</v>
      </c>
      <c r="F20" s="80">
        <f t="shared" si="6"/>
        <v>167.42222222222225</v>
      </c>
      <c r="G20" s="78">
        <f t="shared" si="7"/>
        <v>16438</v>
      </c>
      <c r="H20" s="9">
        <v>2884</v>
      </c>
      <c r="I20" s="124">
        <v>2579</v>
      </c>
      <c r="J20" s="9">
        <v>2948</v>
      </c>
      <c r="K20" s="124">
        <v>2733</v>
      </c>
      <c r="L20" s="9">
        <v>2702</v>
      </c>
      <c r="M20" s="124">
        <v>2537</v>
      </c>
      <c r="N20" s="9">
        <v>2575</v>
      </c>
      <c r="O20" s="124">
        <v>2390</v>
      </c>
      <c r="P20" s="153">
        <v>2585</v>
      </c>
      <c r="Q20" s="155">
        <v>2355</v>
      </c>
      <c r="R20" s="153">
        <v>2744</v>
      </c>
      <c r="S20" s="187">
        <v>2474</v>
      </c>
      <c r="T20" s="197">
        <v>2735</v>
      </c>
      <c r="U20" s="198">
        <v>2465</v>
      </c>
    </row>
    <row r="21" spans="1:21" s="113" customFormat="1" ht="15" customHeight="1">
      <c r="A21" s="7">
        <f t="shared" si="8"/>
        <v>17</v>
      </c>
      <c r="B21" s="10" t="s">
        <v>14</v>
      </c>
      <c r="C21" s="6">
        <v>2</v>
      </c>
      <c r="D21" s="6">
        <f>2+5+2+3+3+1</f>
        <v>16</v>
      </c>
      <c r="E21" s="80">
        <f t="shared" si="6"/>
        <v>177.04444444444442</v>
      </c>
      <c r="F21" s="80">
        <f t="shared" si="6"/>
        <v>124.43333333333334</v>
      </c>
      <c r="G21" s="78">
        <f t="shared" si="7"/>
        <v>15934</v>
      </c>
      <c r="H21" s="6">
        <v>2546</v>
      </c>
      <c r="I21" s="125">
        <v>1761</v>
      </c>
      <c r="J21" s="6">
        <v>2585</v>
      </c>
      <c r="K21" s="125">
        <v>1800</v>
      </c>
      <c r="L21" s="6">
        <v>2646</v>
      </c>
      <c r="M21" s="125">
        <v>1841</v>
      </c>
      <c r="N21" s="9">
        <v>2720</v>
      </c>
      <c r="O21" s="124">
        <v>1925</v>
      </c>
      <c r="P21" s="153">
        <v>2773</v>
      </c>
      <c r="Q21" s="155">
        <v>1983</v>
      </c>
      <c r="R21" s="153">
        <v>2664</v>
      </c>
      <c r="S21" s="187">
        <v>1889</v>
      </c>
      <c r="T21" s="193">
        <v>2687</v>
      </c>
      <c r="U21" s="194">
        <v>1907</v>
      </c>
    </row>
    <row r="22" spans="1:21" s="113" customFormat="1" ht="15" customHeight="1" thickBot="1">
      <c r="A22" s="12">
        <f t="shared" si="8"/>
        <v>18</v>
      </c>
      <c r="B22" s="13" t="s">
        <v>221</v>
      </c>
      <c r="C22" s="14">
        <v>1.5</v>
      </c>
      <c r="D22" s="14">
        <f>2.5+0+5+1+4+3</f>
        <v>15.5</v>
      </c>
      <c r="E22" s="81">
        <f t="shared" si="6"/>
        <v>184.65555555555557</v>
      </c>
      <c r="F22" s="81">
        <f t="shared" si="6"/>
        <v>151.54444444444442</v>
      </c>
      <c r="G22" s="79">
        <f t="shared" si="7"/>
        <v>16619</v>
      </c>
      <c r="H22" s="14">
        <v>2869</v>
      </c>
      <c r="I22" s="126">
        <v>2089</v>
      </c>
      <c r="J22" s="14">
        <v>2622</v>
      </c>
      <c r="K22" s="126">
        <v>2182</v>
      </c>
      <c r="L22" s="14">
        <v>2915</v>
      </c>
      <c r="M22" s="126">
        <v>2425</v>
      </c>
      <c r="N22" s="14">
        <v>2653</v>
      </c>
      <c r="O22" s="126">
        <v>2223</v>
      </c>
      <c r="P22" s="166">
        <v>2826</v>
      </c>
      <c r="Q22" s="174">
        <v>2391</v>
      </c>
      <c r="R22" s="166">
        <v>2734</v>
      </c>
      <c r="S22" s="188">
        <v>2329</v>
      </c>
      <c r="T22" s="195">
        <v>2733</v>
      </c>
      <c r="U22" s="196">
        <v>2318</v>
      </c>
    </row>
    <row r="23" spans="1:21" s="113" customFormat="1" ht="15" customHeight="1">
      <c r="A23" s="167">
        <f t="shared" si="8"/>
        <v>19</v>
      </c>
      <c r="B23" s="8" t="s">
        <v>135</v>
      </c>
      <c r="C23" s="9">
        <v>4</v>
      </c>
      <c r="D23" s="9">
        <f>4+0+3+3+2+3</f>
        <v>15</v>
      </c>
      <c r="E23" s="80">
        <f aca="true" t="shared" si="9" ref="E23:F28">AVERAGE(H23,J23,L23,N23,P23,R23)/15</f>
        <v>176.85555555555555</v>
      </c>
      <c r="F23" s="80">
        <f t="shared" si="9"/>
        <v>127.96666666666667</v>
      </c>
      <c r="G23" s="78">
        <f aca="true" t="shared" si="10" ref="G23:G28">(H23+J23+L23+N23+P23+R23)</f>
        <v>15917</v>
      </c>
      <c r="H23" s="9">
        <v>2853</v>
      </c>
      <c r="I23" s="124">
        <v>1953</v>
      </c>
      <c r="J23" s="9">
        <v>2598</v>
      </c>
      <c r="K23" s="124">
        <v>1908</v>
      </c>
      <c r="L23" s="9">
        <v>2635</v>
      </c>
      <c r="M23" s="124">
        <v>1965</v>
      </c>
      <c r="N23" s="153">
        <v>2696</v>
      </c>
      <c r="O23" s="155">
        <v>2026</v>
      </c>
      <c r="P23" s="153">
        <v>2502</v>
      </c>
      <c r="Q23" s="155">
        <v>1847</v>
      </c>
      <c r="R23" s="153">
        <v>2633</v>
      </c>
      <c r="S23" s="187">
        <v>1818</v>
      </c>
      <c r="T23" s="197">
        <v>2721</v>
      </c>
      <c r="U23" s="198">
        <v>2016</v>
      </c>
    </row>
    <row r="24" spans="1:21" s="113" customFormat="1" ht="15" customHeight="1">
      <c r="A24" s="114">
        <f t="shared" si="8"/>
        <v>20</v>
      </c>
      <c r="B24" s="10" t="s">
        <v>106</v>
      </c>
      <c r="C24" s="6">
        <v>3</v>
      </c>
      <c r="D24" s="6">
        <f>1+1+3+5+3+2</f>
        <v>15</v>
      </c>
      <c r="E24" s="80">
        <f t="shared" si="9"/>
        <v>180.5</v>
      </c>
      <c r="F24" s="80">
        <f t="shared" si="9"/>
        <v>137.83333333333334</v>
      </c>
      <c r="G24" s="78">
        <f t="shared" si="10"/>
        <v>16245</v>
      </c>
      <c r="H24" s="6">
        <v>2719</v>
      </c>
      <c r="I24" s="125">
        <v>1944</v>
      </c>
      <c r="J24" s="6">
        <v>2512</v>
      </c>
      <c r="K24" s="125">
        <v>1822</v>
      </c>
      <c r="L24" s="6">
        <v>2794</v>
      </c>
      <c r="M24" s="125">
        <v>2149</v>
      </c>
      <c r="N24" s="6">
        <v>2732</v>
      </c>
      <c r="O24" s="125">
        <v>2152</v>
      </c>
      <c r="P24" s="153">
        <v>2742</v>
      </c>
      <c r="Q24" s="155">
        <v>2167</v>
      </c>
      <c r="R24" s="153">
        <v>2746</v>
      </c>
      <c r="S24" s="187">
        <v>2171</v>
      </c>
      <c r="T24" s="193">
        <v>2761</v>
      </c>
      <c r="U24" s="194">
        <v>2196</v>
      </c>
    </row>
    <row r="25" spans="1:21" s="113" customFormat="1" ht="15" customHeight="1">
      <c r="A25" s="114">
        <f t="shared" si="8"/>
        <v>21</v>
      </c>
      <c r="B25" s="10" t="s">
        <v>73</v>
      </c>
      <c r="C25" s="6">
        <v>3</v>
      </c>
      <c r="D25" s="6">
        <f>4+1+1+2+4+3</f>
        <v>15</v>
      </c>
      <c r="E25" s="115">
        <f>AVERAGE(H25,J25,L25,N25,P25,R25)/15</f>
        <v>180.37777777777777</v>
      </c>
      <c r="F25" s="115">
        <f>AVERAGE(I25,K25,M25,O25,Q25,S25)/15</f>
        <v>144.65555555555557</v>
      </c>
      <c r="G25" s="116">
        <f>(H25+J25+L25+N25+P25+R25)</f>
        <v>16234</v>
      </c>
      <c r="H25" s="6">
        <v>2858</v>
      </c>
      <c r="I25" s="125">
        <v>2248</v>
      </c>
      <c r="J25" s="6">
        <v>2703</v>
      </c>
      <c r="K25" s="125">
        <v>2223</v>
      </c>
      <c r="L25" s="6">
        <v>2601</v>
      </c>
      <c r="M25" s="125">
        <v>2106</v>
      </c>
      <c r="N25" s="6">
        <v>2571</v>
      </c>
      <c r="O25" s="125">
        <v>2046</v>
      </c>
      <c r="P25" s="153">
        <v>2753</v>
      </c>
      <c r="Q25" s="155">
        <v>2198</v>
      </c>
      <c r="R25" s="153">
        <v>2748</v>
      </c>
      <c r="S25" s="187">
        <v>2198</v>
      </c>
      <c r="T25" s="193">
        <v>2746</v>
      </c>
      <c r="U25" s="194">
        <v>2201</v>
      </c>
    </row>
    <row r="26" spans="1:21" s="113" customFormat="1" ht="15" customHeight="1">
      <c r="A26" s="114">
        <f t="shared" si="8"/>
        <v>22</v>
      </c>
      <c r="B26" s="8" t="s">
        <v>253</v>
      </c>
      <c r="C26" s="9">
        <v>3</v>
      </c>
      <c r="D26" s="9">
        <f>4+2+1+3+2+3</f>
        <v>15</v>
      </c>
      <c r="E26" s="80">
        <f>AVERAGE(H26,J26,L26,N26,P26,R26)/15</f>
        <v>180.56666666666666</v>
      </c>
      <c r="F26" s="80">
        <f>AVERAGE(I26,K26,M26,O26,Q26,S26)/15</f>
        <v>142.23333333333332</v>
      </c>
      <c r="G26" s="78">
        <f>(H26+J26+L26+N26+P26+R26)</f>
        <v>16251</v>
      </c>
      <c r="H26" s="9">
        <v>2733</v>
      </c>
      <c r="I26" s="124">
        <v>2138</v>
      </c>
      <c r="J26" s="9">
        <v>2706</v>
      </c>
      <c r="K26" s="124">
        <v>2136</v>
      </c>
      <c r="L26" s="9">
        <v>2780</v>
      </c>
      <c r="M26" s="124">
        <v>2205</v>
      </c>
      <c r="N26" s="9">
        <v>2615</v>
      </c>
      <c r="O26" s="124">
        <v>2060</v>
      </c>
      <c r="P26" s="153">
        <v>2617</v>
      </c>
      <c r="Q26" s="155">
        <v>2047</v>
      </c>
      <c r="R26" s="153">
        <v>2800</v>
      </c>
      <c r="S26" s="187">
        <v>2215</v>
      </c>
      <c r="T26" s="193">
        <v>2642</v>
      </c>
      <c r="U26" s="194">
        <v>2067</v>
      </c>
    </row>
    <row r="27" spans="1:21" s="113" customFormat="1" ht="15" customHeight="1">
      <c r="A27" s="114">
        <f t="shared" si="8"/>
        <v>23</v>
      </c>
      <c r="B27" s="8" t="s">
        <v>172</v>
      </c>
      <c r="C27" s="9">
        <v>2</v>
      </c>
      <c r="D27" s="9">
        <f>2+4+1+4+1+3</f>
        <v>15</v>
      </c>
      <c r="E27" s="80">
        <f t="shared" si="9"/>
        <v>181.5</v>
      </c>
      <c r="F27" s="80">
        <f t="shared" si="9"/>
        <v>154.16666666666666</v>
      </c>
      <c r="G27" s="78">
        <f t="shared" si="10"/>
        <v>16335</v>
      </c>
      <c r="H27" s="9">
        <v>2787</v>
      </c>
      <c r="I27" s="124">
        <v>2387</v>
      </c>
      <c r="J27" s="186">
        <v>3040</v>
      </c>
      <c r="K27" s="124">
        <v>2485</v>
      </c>
      <c r="L27" s="9">
        <v>2607</v>
      </c>
      <c r="M27" s="124">
        <v>2292</v>
      </c>
      <c r="N27" s="9">
        <v>2619</v>
      </c>
      <c r="O27" s="124">
        <v>2199</v>
      </c>
      <c r="P27" s="153">
        <v>2571</v>
      </c>
      <c r="Q27" s="155">
        <v>2206</v>
      </c>
      <c r="R27" s="153">
        <v>2711</v>
      </c>
      <c r="S27" s="187">
        <v>2306</v>
      </c>
      <c r="T27" s="197">
        <v>2628</v>
      </c>
      <c r="U27" s="198">
        <v>2218</v>
      </c>
    </row>
    <row r="28" spans="1:21" s="113" customFormat="1" ht="15" customHeight="1" thickBot="1">
      <c r="A28" s="7">
        <f t="shared" si="8"/>
        <v>24</v>
      </c>
      <c r="B28" s="13" t="s">
        <v>167</v>
      </c>
      <c r="C28" s="14">
        <v>0</v>
      </c>
      <c r="D28" s="14">
        <f>3+5+1+2+2+2</f>
        <v>15</v>
      </c>
      <c r="E28" s="81">
        <f t="shared" si="9"/>
        <v>175.3111111111111</v>
      </c>
      <c r="F28" s="81">
        <f t="shared" si="9"/>
        <v>124.92222222222222</v>
      </c>
      <c r="G28" s="79">
        <f t="shared" si="10"/>
        <v>15778</v>
      </c>
      <c r="H28" s="14">
        <v>2861</v>
      </c>
      <c r="I28" s="126">
        <v>1996</v>
      </c>
      <c r="J28" s="14">
        <v>2802</v>
      </c>
      <c r="K28" s="126">
        <v>2012</v>
      </c>
      <c r="L28" s="14">
        <v>2541</v>
      </c>
      <c r="M28" s="126">
        <v>1876</v>
      </c>
      <c r="N28" s="14">
        <v>2469</v>
      </c>
      <c r="O28" s="126">
        <v>1759</v>
      </c>
      <c r="P28" s="166">
        <v>2509</v>
      </c>
      <c r="Q28" s="174">
        <v>1774</v>
      </c>
      <c r="R28" s="166">
        <v>2596</v>
      </c>
      <c r="S28" s="188">
        <v>1826</v>
      </c>
      <c r="T28" s="195">
        <v>2668</v>
      </c>
      <c r="U28" s="196">
        <v>1888</v>
      </c>
    </row>
    <row r="29" spans="1:19" s="113" customFormat="1" ht="15" customHeight="1">
      <c r="A29" s="167">
        <f>A28+1</f>
        <v>25</v>
      </c>
      <c r="B29" s="8" t="s">
        <v>198</v>
      </c>
      <c r="C29" s="8"/>
      <c r="D29" s="9">
        <f>3+0+2+2+4+3</f>
        <v>14</v>
      </c>
      <c r="E29" s="80">
        <f aca="true" t="shared" si="11" ref="E29:E34">AVERAGE(H29,J29,L29,N29,P29,R29)/15</f>
        <v>180.7111111111111</v>
      </c>
      <c r="F29" s="80">
        <f aca="true" t="shared" si="12" ref="F29:F34">AVERAGE(I29,K29,M29,O29,Q29,S29)/15</f>
        <v>133.6</v>
      </c>
      <c r="G29" s="78">
        <f aca="true" t="shared" si="13" ref="G29:G34">(H29+J29+L29+N29+P29+R29)</f>
        <v>16264</v>
      </c>
      <c r="H29" s="9">
        <v>2994</v>
      </c>
      <c r="I29" s="124">
        <v>2094</v>
      </c>
      <c r="J29" s="9">
        <v>2595</v>
      </c>
      <c r="K29" s="124">
        <v>1990</v>
      </c>
      <c r="L29" s="9">
        <v>2598</v>
      </c>
      <c r="M29" s="124">
        <v>1948</v>
      </c>
      <c r="N29" s="9">
        <v>2669</v>
      </c>
      <c r="O29" s="124">
        <v>1994</v>
      </c>
      <c r="P29" s="9">
        <v>2711</v>
      </c>
      <c r="Q29" s="124">
        <v>2006</v>
      </c>
      <c r="R29" s="153">
        <v>2697</v>
      </c>
      <c r="S29" s="155">
        <v>1992</v>
      </c>
    </row>
    <row r="30" spans="1:19" s="113" customFormat="1" ht="15" customHeight="1">
      <c r="A30" s="7">
        <f aca="true" t="shared" si="14" ref="A30:A35">A29+1</f>
        <v>26</v>
      </c>
      <c r="B30" s="10" t="s">
        <v>159</v>
      </c>
      <c r="C30" s="10"/>
      <c r="D30" s="6">
        <f>3+4+3+1+1+2</f>
        <v>14</v>
      </c>
      <c r="E30" s="80">
        <f t="shared" si="11"/>
        <v>178.94444444444443</v>
      </c>
      <c r="F30" s="80">
        <f t="shared" si="12"/>
        <v>137.33333333333334</v>
      </c>
      <c r="G30" s="78">
        <f t="shared" si="13"/>
        <v>16105</v>
      </c>
      <c r="H30" s="6">
        <v>2776</v>
      </c>
      <c r="I30" s="125">
        <v>2111</v>
      </c>
      <c r="J30" s="6">
        <v>2736</v>
      </c>
      <c r="K30" s="125">
        <v>2146</v>
      </c>
      <c r="L30" s="6">
        <v>2657</v>
      </c>
      <c r="M30" s="125">
        <v>2037</v>
      </c>
      <c r="N30" s="6">
        <v>2565</v>
      </c>
      <c r="O30" s="125">
        <v>1950</v>
      </c>
      <c r="P30" s="153">
        <v>2706</v>
      </c>
      <c r="Q30" s="155">
        <v>2091</v>
      </c>
      <c r="R30" s="153">
        <v>2665</v>
      </c>
      <c r="S30" s="155">
        <v>2025</v>
      </c>
    </row>
    <row r="31" spans="1:19" s="113" customFormat="1" ht="15" customHeight="1">
      <c r="A31" s="114">
        <f t="shared" si="14"/>
        <v>27</v>
      </c>
      <c r="B31" s="10" t="s">
        <v>99</v>
      </c>
      <c r="C31" s="10"/>
      <c r="D31" s="6">
        <f>1+3+1+4+4+1</f>
        <v>14</v>
      </c>
      <c r="E31" s="80">
        <f t="shared" si="11"/>
        <v>175.65555555555557</v>
      </c>
      <c r="F31" s="80">
        <f t="shared" si="12"/>
        <v>129.7111111111111</v>
      </c>
      <c r="G31" s="78">
        <f t="shared" si="13"/>
        <v>15809</v>
      </c>
      <c r="H31" s="6">
        <v>2751</v>
      </c>
      <c r="I31" s="125">
        <v>1986</v>
      </c>
      <c r="J31" s="6">
        <v>2660</v>
      </c>
      <c r="K31" s="125">
        <v>2000</v>
      </c>
      <c r="L31" s="6">
        <v>2430</v>
      </c>
      <c r="M31" s="125">
        <v>1770</v>
      </c>
      <c r="N31" s="6">
        <v>2609</v>
      </c>
      <c r="O31" s="125">
        <v>1924</v>
      </c>
      <c r="P31" s="153">
        <v>2814</v>
      </c>
      <c r="Q31" s="155">
        <v>2119</v>
      </c>
      <c r="R31" s="153">
        <v>2545</v>
      </c>
      <c r="S31" s="155">
        <v>1875</v>
      </c>
    </row>
    <row r="32" spans="1:19" s="113" customFormat="1" ht="15" customHeight="1">
      <c r="A32" s="114">
        <f t="shared" si="14"/>
        <v>28</v>
      </c>
      <c r="B32" s="10" t="s">
        <v>108</v>
      </c>
      <c r="C32" s="10"/>
      <c r="D32" s="6">
        <f>3+0+2+3+3+3</f>
        <v>14</v>
      </c>
      <c r="E32" s="80">
        <f t="shared" si="11"/>
        <v>174.86666666666667</v>
      </c>
      <c r="F32" s="80">
        <f t="shared" si="12"/>
        <v>123.75555555555555</v>
      </c>
      <c r="G32" s="78">
        <f t="shared" si="13"/>
        <v>15738</v>
      </c>
      <c r="H32" s="6">
        <v>2740</v>
      </c>
      <c r="I32" s="125">
        <v>1875</v>
      </c>
      <c r="J32" s="6">
        <v>2595</v>
      </c>
      <c r="K32" s="125">
        <v>1890</v>
      </c>
      <c r="L32" s="6">
        <v>2650</v>
      </c>
      <c r="M32" s="125">
        <v>1920</v>
      </c>
      <c r="N32" s="6">
        <v>2509</v>
      </c>
      <c r="O32" s="125">
        <v>1769</v>
      </c>
      <c r="P32" s="153">
        <v>2589</v>
      </c>
      <c r="Q32" s="155">
        <v>1814</v>
      </c>
      <c r="R32" s="153">
        <v>2655</v>
      </c>
      <c r="S32" s="155">
        <v>1870</v>
      </c>
    </row>
    <row r="33" spans="1:19" s="113" customFormat="1" ht="15" customHeight="1">
      <c r="A33" s="114">
        <f t="shared" si="14"/>
        <v>29</v>
      </c>
      <c r="B33" s="10" t="s">
        <v>13</v>
      </c>
      <c r="C33" s="10"/>
      <c r="D33" s="6">
        <f>2+3+3+1+2+3</f>
        <v>14</v>
      </c>
      <c r="E33" s="80">
        <f t="shared" si="11"/>
        <v>174.7888888888889</v>
      </c>
      <c r="F33" s="80">
        <f t="shared" si="12"/>
        <v>122.73333333333333</v>
      </c>
      <c r="G33" s="78">
        <f t="shared" si="13"/>
        <v>15731</v>
      </c>
      <c r="H33" s="6">
        <v>2642</v>
      </c>
      <c r="I33" s="125">
        <v>1842</v>
      </c>
      <c r="J33" s="6">
        <v>2643</v>
      </c>
      <c r="K33" s="125">
        <v>1853</v>
      </c>
      <c r="L33" s="6">
        <v>2677</v>
      </c>
      <c r="M33" s="125">
        <v>1907</v>
      </c>
      <c r="N33" s="6">
        <v>2458</v>
      </c>
      <c r="O33" s="125">
        <v>1723</v>
      </c>
      <c r="P33" s="153">
        <v>2598</v>
      </c>
      <c r="Q33" s="155">
        <v>1813</v>
      </c>
      <c r="R33" s="153">
        <v>2713</v>
      </c>
      <c r="S33" s="155">
        <v>1908</v>
      </c>
    </row>
    <row r="34" spans="1:19" s="113" customFormat="1" ht="15" customHeight="1" thickBot="1">
      <c r="A34" s="12">
        <f t="shared" si="14"/>
        <v>30</v>
      </c>
      <c r="B34" s="13" t="s">
        <v>15</v>
      </c>
      <c r="C34" s="13"/>
      <c r="D34" s="14">
        <f>3+2+4+1+3+1</f>
        <v>14</v>
      </c>
      <c r="E34" s="81">
        <f t="shared" si="11"/>
        <v>173.62222222222223</v>
      </c>
      <c r="F34" s="81">
        <f t="shared" si="12"/>
        <v>127.37777777777778</v>
      </c>
      <c r="G34" s="79">
        <f t="shared" si="13"/>
        <v>15626</v>
      </c>
      <c r="H34" s="14">
        <v>2695</v>
      </c>
      <c r="I34" s="126">
        <v>1878</v>
      </c>
      <c r="J34" s="14">
        <v>2590</v>
      </c>
      <c r="K34" s="126">
        <v>1975</v>
      </c>
      <c r="L34" s="14">
        <v>2593</v>
      </c>
      <c r="M34" s="126">
        <v>1933</v>
      </c>
      <c r="N34" s="14">
        <v>2536</v>
      </c>
      <c r="O34" s="126">
        <v>1881</v>
      </c>
      <c r="P34" s="166">
        <v>2573</v>
      </c>
      <c r="Q34" s="174">
        <v>1858</v>
      </c>
      <c r="R34" s="166">
        <v>2639</v>
      </c>
      <c r="S34" s="174">
        <v>1939</v>
      </c>
    </row>
    <row r="35" spans="1:19" s="113" customFormat="1" ht="15" customHeight="1">
      <c r="A35" s="167">
        <f t="shared" si="14"/>
        <v>31</v>
      </c>
      <c r="B35" s="8" t="s">
        <v>201</v>
      </c>
      <c r="C35" s="8"/>
      <c r="D35" s="9">
        <f>3.5+2+2+2+1+3</f>
        <v>13.5</v>
      </c>
      <c r="E35" s="80">
        <f aca="true" t="shared" si="15" ref="E35:F39">AVERAGE(H35,J35,L35,N35,P35,R35)/15</f>
        <v>180.8111111111111</v>
      </c>
      <c r="F35" s="80">
        <f t="shared" si="15"/>
        <v>152.0888888888889</v>
      </c>
      <c r="G35" s="78">
        <f aca="true" t="shared" si="16" ref="G35:G40">(H35+J35+L35+N35+P35+R35)</f>
        <v>16273</v>
      </c>
      <c r="H35" s="9">
        <v>2923</v>
      </c>
      <c r="I35" s="124">
        <v>2438</v>
      </c>
      <c r="J35" s="9">
        <v>2644</v>
      </c>
      <c r="K35" s="124">
        <v>2304</v>
      </c>
      <c r="L35" s="9">
        <v>2744</v>
      </c>
      <c r="M35" s="124">
        <v>2274</v>
      </c>
      <c r="N35" s="9">
        <v>2635</v>
      </c>
      <c r="O35" s="124">
        <v>2205</v>
      </c>
      <c r="P35" s="153">
        <v>2610</v>
      </c>
      <c r="Q35" s="155">
        <v>2220</v>
      </c>
      <c r="R35" s="153">
        <v>2717</v>
      </c>
      <c r="S35" s="155">
        <v>2247</v>
      </c>
    </row>
    <row r="36" spans="1:19" s="113" customFormat="1" ht="15" customHeight="1">
      <c r="A36" s="7">
        <f aca="true" t="shared" si="17" ref="A36:A41">A35+1</f>
        <v>32</v>
      </c>
      <c r="B36" s="10" t="s">
        <v>140</v>
      </c>
      <c r="C36" s="10"/>
      <c r="D36" s="6">
        <f>2+3+2+2+2+2</f>
        <v>13</v>
      </c>
      <c r="E36" s="80">
        <f t="shared" si="15"/>
        <v>177.05555555555557</v>
      </c>
      <c r="F36" s="80">
        <f t="shared" si="15"/>
        <v>130</v>
      </c>
      <c r="G36" s="78">
        <f t="shared" si="16"/>
        <v>15935</v>
      </c>
      <c r="H36" s="6">
        <v>2725</v>
      </c>
      <c r="I36" s="125">
        <v>1955</v>
      </c>
      <c r="J36" s="6">
        <v>2834</v>
      </c>
      <c r="K36" s="125">
        <v>2124</v>
      </c>
      <c r="L36" s="6">
        <v>2587</v>
      </c>
      <c r="M36" s="125">
        <v>1942</v>
      </c>
      <c r="N36" s="6">
        <v>2544</v>
      </c>
      <c r="O36" s="125">
        <v>1879</v>
      </c>
      <c r="P36" s="153">
        <v>2665</v>
      </c>
      <c r="Q36" s="155">
        <v>1950</v>
      </c>
      <c r="R36" s="153">
        <v>2580</v>
      </c>
      <c r="S36" s="155">
        <v>1850</v>
      </c>
    </row>
    <row r="37" spans="1:19" s="113" customFormat="1" ht="15" customHeight="1">
      <c r="A37" s="7">
        <f t="shared" si="17"/>
        <v>33</v>
      </c>
      <c r="B37" s="10" t="s">
        <v>171</v>
      </c>
      <c r="C37" s="10"/>
      <c r="D37" s="6">
        <f>3+1+3+2+1+3</f>
        <v>13</v>
      </c>
      <c r="E37" s="80">
        <f t="shared" si="15"/>
        <v>176.07777777777775</v>
      </c>
      <c r="F37" s="80">
        <f t="shared" si="15"/>
        <v>123.21111111111112</v>
      </c>
      <c r="G37" s="78">
        <f t="shared" si="16"/>
        <v>15847</v>
      </c>
      <c r="H37" s="6">
        <v>2771</v>
      </c>
      <c r="I37" s="125">
        <v>1871</v>
      </c>
      <c r="J37" s="6">
        <v>2615</v>
      </c>
      <c r="K37" s="125">
        <v>1855</v>
      </c>
      <c r="L37" s="6">
        <v>2606</v>
      </c>
      <c r="M37" s="125">
        <v>1901</v>
      </c>
      <c r="N37" s="152">
        <v>2534</v>
      </c>
      <c r="O37" s="154">
        <v>1749</v>
      </c>
      <c r="P37" s="153">
        <v>2636</v>
      </c>
      <c r="Q37" s="155">
        <v>1831</v>
      </c>
      <c r="R37" s="153">
        <v>2685</v>
      </c>
      <c r="S37" s="155">
        <v>1882</v>
      </c>
    </row>
    <row r="38" spans="1:19" s="113" customFormat="1" ht="15" customHeight="1">
      <c r="A38" s="7">
        <f t="shared" si="17"/>
        <v>34</v>
      </c>
      <c r="B38" s="10" t="s">
        <v>37</v>
      </c>
      <c r="C38" s="10"/>
      <c r="D38" s="6">
        <f>0+3+4+1+1+4</f>
        <v>13</v>
      </c>
      <c r="E38" s="80">
        <f t="shared" si="15"/>
        <v>175.1888888888889</v>
      </c>
      <c r="F38" s="80">
        <f t="shared" si="15"/>
        <v>132.13333333333333</v>
      </c>
      <c r="G38" s="78">
        <f t="shared" si="16"/>
        <v>15767</v>
      </c>
      <c r="H38" s="6">
        <v>2603</v>
      </c>
      <c r="I38" s="125">
        <v>1933</v>
      </c>
      <c r="J38" s="6">
        <v>2781</v>
      </c>
      <c r="K38" s="125">
        <v>2121</v>
      </c>
      <c r="L38" s="6">
        <v>2669</v>
      </c>
      <c r="M38" s="125">
        <v>1979</v>
      </c>
      <c r="N38" s="152">
        <v>2406</v>
      </c>
      <c r="O38" s="154">
        <v>1741</v>
      </c>
      <c r="P38" s="153">
        <v>2559</v>
      </c>
      <c r="Q38" s="155">
        <v>2059</v>
      </c>
      <c r="R38" s="153">
        <v>2749</v>
      </c>
      <c r="S38" s="155">
        <v>2059</v>
      </c>
    </row>
    <row r="39" spans="1:19" s="113" customFormat="1" ht="15" customHeight="1">
      <c r="A39" s="7">
        <f t="shared" si="17"/>
        <v>35</v>
      </c>
      <c r="B39" s="10" t="s">
        <v>199</v>
      </c>
      <c r="C39" s="10"/>
      <c r="D39" s="6">
        <f>0+3+1+1+3+4</f>
        <v>12</v>
      </c>
      <c r="E39" s="80">
        <f t="shared" si="15"/>
        <v>180.64444444444445</v>
      </c>
      <c r="F39" s="80">
        <f t="shared" si="15"/>
        <v>149.14444444444445</v>
      </c>
      <c r="G39" s="78">
        <f t="shared" si="16"/>
        <v>16258</v>
      </c>
      <c r="H39" s="6">
        <v>2667</v>
      </c>
      <c r="I39" s="125">
        <v>2232</v>
      </c>
      <c r="J39" s="130">
        <v>3002</v>
      </c>
      <c r="K39" s="125">
        <v>2502</v>
      </c>
      <c r="L39" s="6">
        <v>2705</v>
      </c>
      <c r="M39" s="125">
        <v>2320</v>
      </c>
      <c r="N39" s="6">
        <v>2475</v>
      </c>
      <c r="O39" s="125">
        <v>1840</v>
      </c>
      <c r="P39" s="9">
        <v>2737</v>
      </c>
      <c r="Q39" s="124">
        <v>2297</v>
      </c>
      <c r="R39" s="153">
        <v>2672</v>
      </c>
      <c r="S39" s="155">
        <v>2232</v>
      </c>
    </row>
    <row r="40" spans="1:19" s="113" customFormat="1" ht="15" customHeight="1" thickBot="1">
      <c r="A40" s="12">
        <f t="shared" si="17"/>
        <v>36</v>
      </c>
      <c r="B40" s="145" t="s">
        <v>255</v>
      </c>
      <c r="C40" s="145"/>
      <c r="D40" s="11">
        <f>2+3+0+3+3+1</f>
        <v>12</v>
      </c>
      <c r="E40" s="81">
        <f aca="true" t="shared" si="18" ref="E40:E46">AVERAGE(H40,J40,L40,N40,P40,R40)/15</f>
        <v>174.36666666666667</v>
      </c>
      <c r="F40" s="131">
        <f aca="true" t="shared" si="19" ref="F40:F46">AVERAGE(I40,K40,M40,O40,Q40,S40)/15</f>
        <v>120.53333333333333</v>
      </c>
      <c r="G40" s="79">
        <f t="shared" si="16"/>
        <v>15693</v>
      </c>
      <c r="H40" s="11">
        <v>2553</v>
      </c>
      <c r="I40" s="127">
        <v>1653</v>
      </c>
      <c r="J40" s="11">
        <v>2781</v>
      </c>
      <c r="K40" s="127">
        <v>1966</v>
      </c>
      <c r="L40" s="11">
        <v>2586</v>
      </c>
      <c r="M40" s="127">
        <v>1861</v>
      </c>
      <c r="N40" s="11">
        <v>2641</v>
      </c>
      <c r="O40" s="127">
        <v>1831</v>
      </c>
      <c r="P40" s="166">
        <v>2561</v>
      </c>
      <c r="Q40" s="174">
        <v>1816</v>
      </c>
      <c r="R40" s="175">
        <v>2571</v>
      </c>
      <c r="S40" s="176">
        <v>1721</v>
      </c>
    </row>
    <row r="41" spans="1:19" s="113" customFormat="1" ht="15" customHeight="1">
      <c r="A41" s="167">
        <f t="shared" si="17"/>
        <v>37</v>
      </c>
      <c r="B41" s="8" t="s">
        <v>229</v>
      </c>
      <c r="C41" s="8"/>
      <c r="D41" s="9">
        <f>2+2+3+1+3+1</f>
        <v>12</v>
      </c>
      <c r="E41" s="80">
        <f t="shared" si="18"/>
        <v>173.62222222222223</v>
      </c>
      <c r="F41" s="80">
        <f t="shared" si="19"/>
        <v>115.34444444444445</v>
      </c>
      <c r="G41" s="78">
        <f aca="true" t="shared" si="20" ref="G41:G46">(H41+J41+L41+N41+P41+R41)</f>
        <v>15626</v>
      </c>
      <c r="H41" s="9">
        <v>2657</v>
      </c>
      <c r="I41" s="124">
        <v>1757</v>
      </c>
      <c r="J41" s="9">
        <v>2645</v>
      </c>
      <c r="K41" s="124">
        <v>1770</v>
      </c>
      <c r="L41" s="9">
        <v>2605</v>
      </c>
      <c r="M41" s="124">
        <v>1740</v>
      </c>
      <c r="N41" s="153">
        <v>2533</v>
      </c>
      <c r="O41" s="155">
        <v>1663</v>
      </c>
      <c r="P41" s="153">
        <v>2594</v>
      </c>
      <c r="Q41" s="155">
        <v>1729</v>
      </c>
      <c r="R41" s="153">
        <v>2592</v>
      </c>
      <c r="S41" s="155">
        <v>1722</v>
      </c>
    </row>
    <row r="42" spans="1:19" s="113" customFormat="1" ht="15" customHeight="1">
      <c r="A42" s="7">
        <f>A41+1</f>
        <v>38</v>
      </c>
      <c r="B42" s="10" t="s">
        <v>175</v>
      </c>
      <c r="C42" s="10"/>
      <c r="D42" s="6">
        <f>2+2+2+2+1+2</f>
        <v>11</v>
      </c>
      <c r="E42" s="80">
        <f>AVERAGE(H42,J42,L42,N42,P42,R42)/15</f>
        <v>174.27777777777777</v>
      </c>
      <c r="F42" s="80">
        <f>AVERAGE(I42,K42,M42,O42,Q42,S42)/15</f>
        <v>128.94444444444446</v>
      </c>
      <c r="G42" s="78">
        <f t="shared" si="20"/>
        <v>15685</v>
      </c>
      <c r="H42" s="6">
        <v>2665</v>
      </c>
      <c r="I42" s="125">
        <v>1945</v>
      </c>
      <c r="J42" s="6">
        <v>2705</v>
      </c>
      <c r="K42" s="125">
        <v>2000</v>
      </c>
      <c r="L42" s="6">
        <v>2655</v>
      </c>
      <c r="M42" s="125">
        <v>2000</v>
      </c>
      <c r="N42" s="6">
        <v>2614</v>
      </c>
      <c r="O42" s="125">
        <v>1959</v>
      </c>
      <c r="P42" s="152">
        <v>2495</v>
      </c>
      <c r="Q42" s="154">
        <v>1840</v>
      </c>
      <c r="R42" s="153">
        <v>2551</v>
      </c>
      <c r="S42" s="155">
        <v>1861</v>
      </c>
    </row>
    <row r="43" spans="1:19" s="113" customFormat="1" ht="15" customHeight="1">
      <c r="A43" s="7">
        <f>A42+1</f>
        <v>39</v>
      </c>
      <c r="B43" s="10" t="s">
        <v>136</v>
      </c>
      <c r="C43" s="10"/>
      <c r="D43" s="6">
        <f>1+2+2+1.5+2+2</f>
        <v>10.5</v>
      </c>
      <c r="E43" s="80">
        <f t="shared" si="18"/>
        <v>171.3111111111111</v>
      </c>
      <c r="F43" s="80">
        <f t="shared" si="19"/>
        <v>121.25555555555555</v>
      </c>
      <c r="G43" s="78">
        <f t="shared" si="20"/>
        <v>15418</v>
      </c>
      <c r="H43" s="6">
        <v>2494</v>
      </c>
      <c r="I43" s="125">
        <v>1594</v>
      </c>
      <c r="J43" s="6">
        <v>2679</v>
      </c>
      <c r="K43" s="125">
        <v>1889</v>
      </c>
      <c r="L43" s="6">
        <v>2575</v>
      </c>
      <c r="M43" s="125">
        <v>1890</v>
      </c>
      <c r="N43" s="6">
        <v>2594</v>
      </c>
      <c r="O43" s="125">
        <v>1884</v>
      </c>
      <c r="P43" s="6">
        <v>2474</v>
      </c>
      <c r="Q43" s="125">
        <v>1779</v>
      </c>
      <c r="R43" s="153">
        <v>2602</v>
      </c>
      <c r="S43" s="155">
        <v>1877</v>
      </c>
    </row>
    <row r="44" spans="1:19" s="113" customFormat="1" ht="15" customHeight="1">
      <c r="A44" s="7">
        <f>A43+1</f>
        <v>40</v>
      </c>
      <c r="B44" s="10" t="s">
        <v>110</v>
      </c>
      <c r="C44" s="10"/>
      <c r="D44" s="6">
        <f>2+0+0+3+4+1</f>
        <v>10</v>
      </c>
      <c r="E44" s="80">
        <f t="shared" si="18"/>
        <v>167.9</v>
      </c>
      <c r="F44" s="80">
        <f t="shared" si="19"/>
        <v>111.06666666666666</v>
      </c>
      <c r="G44" s="78">
        <f t="shared" si="20"/>
        <v>15111</v>
      </c>
      <c r="H44" s="6">
        <v>2705</v>
      </c>
      <c r="I44" s="125">
        <v>1845</v>
      </c>
      <c r="J44" s="6">
        <v>2485</v>
      </c>
      <c r="K44" s="125">
        <v>1620</v>
      </c>
      <c r="L44" s="6">
        <v>2507</v>
      </c>
      <c r="M44" s="125">
        <v>1707</v>
      </c>
      <c r="N44" s="6">
        <v>2550</v>
      </c>
      <c r="O44" s="125">
        <v>1650</v>
      </c>
      <c r="P44" s="6">
        <v>2555</v>
      </c>
      <c r="Q44" s="125">
        <v>1715</v>
      </c>
      <c r="R44" s="153">
        <v>2309</v>
      </c>
      <c r="S44" s="155">
        <v>1459</v>
      </c>
    </row>
    <row r="45" spans="1:19" s="113" customFormat="1" ht="15" customHeight="1">
      <c r="A45" s="7">
        <f>A44+1</f>
        <v>41</v>
      </c>
      <c r="B45" s="10" t="s">
        <v>254</v>
      </c>
      <c r="C45" s="10"/>
      <c r="D45" s="6">
        <f>2+0+4+1+0+2</f>
        <v>9</v>
      </c>
      <c r="E45" s="80">
        <f t="shared" si="18"/>
        <v>169.88333333333333</v>
      </c>
      <c r="F45" s="80">
        <f t="shared" si="19"/>
        <v>115.88333333333334</v>
      </c>
      <c r="G45" s="78">
        <f t="shared" si="20"/>
        <v>10193</v>
      </c>
      <c r="H45" s="6">
        <v>2526</v>
      </c>
      <c r="I45" s="125">
        <v>1666</v>
      </c>
      <c r="J45" s="6"/>
      <c r="K45" s="125"/>
      <c r="L45" s="6">
        <v>2668</v>
      </c>
      <c r="M45" s="125">
        <v>1813</v>
      </c>
      <c r="N45" s="6">
        <v>2503</v>
      </c>
      <c r="O45" s="125">
        <v>1758</v>
      </c>
      <c r="P45" s="6"/>
      <c r="Q45" s="125"/>
      <c r="R45" s="153">
        <v>2496</v>
      </c>
      <c r="S45" s="155">
        <v>1716</v>
      </c>
    </row>
    <row r="46" spans="1:19" s="113" customFormat="1" ht="15" customHeight="1" thickBot="1">
      <c r="A46" s="12">
        <f>A45+1</f>
        <v>42</v>
      </c>
      <c r="B46" s="13" t="s">
        <v>109</v>
      </c>
      <c r="C46" s="13"/>
      <c r="D46" s="14">
        <f>1+0+1+2.5+2+2</f>
        <v>8.5</v>
      </c>
      <c r="E46" s="81">
        <f t="shared" si="18"/>
        <v>166.36666666666667</v>
      </c>
      <c r="F46" s="81">
        <f t="shared" si="19"/>
        <v>106.53333333333333</v>
      </c>
      <c r="G46" s="79">
        <f t="shared" si="20"/>
        <v>14973</v>
      </c>
      <c r="H46" s="14">
        <v>2453</v>
      </c>
      <c r="I46" s="126">
        <v>1553</v>
      </c>
      <c r="J46" s="14">
        <v>2426</v>
      </c>
      <c r="K46" s="126">
        <v>1526</v>
      </c>
      <c r="L46" s="14">
        <v>2519</v>
      </c>
      <c r="M46" s="126">
        <v>1619</v>
      </c>
      <c r="N46" s="14">
        <v>2520</v>
      </c>
      <c r="O46" s="126">
        <v>1620</v>
      </c>
      <c r="P46" s="14">
        <v>2501</v>
      </c>
      <c r="Q46" s="126">
        <v>1611</v>
      </c>
      <c r="R46" s="153">
        <v>2554</v>
      </c>
      <c r="S46" s="155">
        <v>1659</v>
      </c>
    </row>
    <row r="47" spans="1:19" s="113" customFormat="1" ht="6.75" customHeight="1">
      <c r="A47" s="2"/>
      <c r="B47" s="5"/>
      <c r="C47" s="5"/>
      <c r="D47" s="1"/>
      <c r="E47" s="15"/>
      <c r="F47" s="15"/>
      <c r="G47" s="77"/>
      <c r="H47" s="5"/>
      <c r="I47" s="128"/>
      <c r="J47" s="5"/>
      <c r="K47" s="128"/>
      <c r="L47" s="5"/>
      <c r="M47" s="128"/>
      <c r="N47" s="5"/>
      <c r="O47" s="128"/>
      <c r="P47" s="5"/>
      <c r="Q47" s="128"/>
      <c r="R47" s="5"/>
      <c r="S47" s="128"/>
    </row>
    <row r="48" spans="1:19" s="113" customFormat="1" ht="15" customHeight="1">
      <c r="A48" s="2"/>
      <c r="B48" s="5"/>
      <c r="C48" s="5"/>
      <c r="D48" s="1"/>
      <c r="E48" s="15"/>
      <c r="F48" s="15"/>
      <c r="G48" s="77"/>
      <c r="H48" s="5"/>
      <c r="I48" s="128"/>
      <c r="J48" s="5"/>
      <c r="K48" s="128"/>
      <c r="L48" s="5"/>
      <c r="M48" s="128"/>
      <c r="N48" s="5"/>
      <c r="O48" s="128"/>
      <c r="P48" s="5"/>
      <c r="Q48" s="128"/>
      <c r="R48" s="5"/>
      <c r="S48" s="128"/>
    </row>
    <row r="49" spans="1:19" s="113" customFormat="1" ht="15" customHeight="1">
      <c r="A49" s="2"/>
      <c r="B49" s="5"/>
      <c r="C49" s="5"/>
      <c r="D49" s="1"/>
      <c r="E49" s="15"/>
      <c r="F49" s="15"/>
      <c r="G49" s="77"/>
      <c r="H49" s="5"/>
      <c r="I49" s="128"/>
      <c r="J49" s="5"/>
      <c r="K49" s="128"/>
      <c r="L49" s="5"/>
      <c r="M49" s="128"/>
      <c r="N49" s="5"/>
      <c r="O49" s="128"/>
      <c r="P49" s="5"/>
      <c r="Q49" s="128"/>
      <c r="R49" s="5"/>
      <c r="S49" s="128"/>
    </row>
    <row r="50" spans="1:19" s="113" customFormat="1" ht="15" customHeight="1">
      <c r="A50" s="2"/>
      <c r="B50" s="5"/>
      <c r="C50" s="5"/>
      <c r="D50" s="1"/>
      <c r="E50" s="15"/>
      <c r="F50" s="15"/>
      <c r="G50" s="77"/>
      <c r="H50" s="5"/>
      <c r="I50" s="128"/>
      <c r="J50" s="5"/>
      <c r="K50" s="128"/>
      <c r="L50" s="5"/>
      <c r="M50" s="128"/>
      <c r="N50" s="5"/>
      <c r="O50" s="128"/>
      <c r="P50" s="5"/>
      <c r="Q50" s="128"/>
      <c r="R50" s="5"/>
      <c r="S50" s="128"/>
    </row>
    <row r="51" spans="1:19" s="113" customFormat="1" ht="15" customHeight="1">
      <c r="A51" s="2"/>
      <c r="B51" s="5"/>
      <c r="C51" s="5"/>
      <c r="D51" s="1"/>
      <c r="E51" s="15"/>
      <c r="F51" s="15"/>
      <c r="G51" s="77"/>
      <c r="H51" s="5"/>
      <c r="I51" s="128"/>
      <c r="J51" s="5"/>
      <c r="K51" s="128"/>
      <c r="L51" s="5"/>
      <c r="M51" s="128"/>
      <c r="N51" s="5"/>
      <c r="O51" s="128"/>
      <c r="P51" s="5"/>
      <c r="Q51" s="128"/>
      <c r="R51" s="5"/>
      <c r="S51" s="128"/>
    </row>
    <row r="52" spans="1:19" s="113" customFormat="1" ht="15" customHeight="1">
      <c r="A52" s="2"/>
      <c r="B52" s="5"/>
      <c r="C52" s="5"/>
      <c r="D52" s="1"/>
      <c r="E52" s="15"/>
      <c r="F52" s="15"/>
      <c r="G52" s="77"/>
      <c r="H52" s="5"/>
      <c r="I52" s="128"/>
      <c r="J52" s="5"/>
      <c r="K52" s="128"/>
      <c r="L52" s="5"/>
      <c r="M52" s="128"/>
      <c r="N52" s="5"/>
      <c r="O52" s="128"/>
      <c r="P52" s="5"/>
      <c r="Q52" s="128"/>
      <c r="R52" s="5"/>
      <c r="S52" s="128"/>
    </row>
    <row r="53" spans="1:19" s="113" customFormat="1" ht="15" customHeight="1">
      <c r="A53" s="2"/>
      <c r="B53" s="5"/>
      <c r="C53" s="5"/>
      <c r="D53" s="1"/>
      <c r="E53" s="15"/>
      <c r="F53" s="15"/>
      <c r="G53" s="77"/>
      <c r="H53" s="5"/>
      <c r="I53" s="128"/>
      <c r="J53" s="5"/>
      <c r="K53" s="128"/>
      <c r="L53" s="5"/>
      <c r="M53" s="128"/>
      <c r="N53" s="5"/>
      <c r="O53" s="128"/>
      <c r="P53" s="5"/>
      <c r="Q53" s="128"/>
      <c r="R53" s="5"/>
      <c r="S53" s="128"/>
    </row>
    <row r="54" spans="1:19" s="113" customFormat="1" ht="15" customHeight="1">
      <c r="A54" s="2"/>
      <c r="B54" s="5"/>
      <c r="C54" s="5"/>
      <c r="D54" s="1"/>
      <c r="E54" s="15"/>
      <c r="F54" s="15"/>
      <c r="G54" s="77"/>
      <c r="H54" s="5"/>
      <c r="I54" s="128"/>
      <c r="J54" s="5"/>
      <c r="K54" s="128"/>
      <c r="L54" s="5"/>
      <c r="M54" s="128"/>
      <c r="N54" s="5"/>
      <c r="O54" s="128"/>
      <c r="P54" s="5"/>
      <c r="Q54" s="128"/>
      <c r="R54" s="5"/>
      <c r="S54" s="128"/>
    </row>
    <row r="55" spans="1:19" s="113" customFormat="1" ht="15" customHeight="1">
      <c r="A55" s="2"/>
      <c r="B55" s="5"/>
      <c r="C55" s="5"/>
      <c r="D55" s="1"/>
      <c r="E55" s="15"/>
      <c r="F55" s="15"/>
      <c r="G55" s="77"/>
      <c r="H55" s="5"/>
      <c r="I55" s="128"/>
      <c r="J55" s="5"/>
      <c r="K55" s="128"/>
      <c r="L55" s="5"/>
      <c r="M55" s="128"/>
      <c r="N55" s="5"/>
      <c r="O55" s="128"/>
      <c r="P55" s="5"/>
      <c r="Q55" s="128"/>
      <c r="R55" s="5"/>
      <c r="S55" s="128"/>
    </row>
    <row r="56" spans="1:19" s="113" customFormat="1" ht="15" customHeight="1">
      <c r="A56" s="2"/>
      <c r="B56" s="5"/>
      <c r="C56" s="5"/>
      <c r="D56" s="1"/>
      <c r="E56" s="15"/>
      <c r="F56" s="15"/>
      <c r="G56" s="77"/>
      <c r="H56" s="5"/>
      <c r="I56" s="128"/>
      <c r="J56" s="5"/>
      <c r="K56" s="128"/>
      <c r="L56" s="5"/>
      <c r="M56" s="128"/>
      <c r="N56" s="5"/>
      <c r="O56" s="128"/>
      <c r="P56" s="5"/>
      <c r="Q56" s="128"/>
      <c r="R56" s="5"/>
      <c r="S56" s="128"/>
    </row>
    <row r="57" spans="1:19" s="113" customFormat="1" ht="15" customHeight="1">
      <c r="A57" s="2"/>
      <c r="B57" s="5"/>
      <c r="C57" s="5"/>
      <c r="D57" s="1"/>
      <c r="E57" s="15"/>
      <c r="F57" s="15"/>
      <c r="G57" s="77"/>
      <c r="H57" s="5"/>
      <c r="I57" s="128"/>
      <c r="J57" s="5"/>
      <c r="K57" s="128"/>
      <c r="L57" s="5"/>
      <c r="M57" s="128"/>
      <c r="N57" s="5"/>
      <c r="O57" s="128"/>
      <c r="P57" s="5"/>
      <c r="Q57" s="128"/>
      <c r="R57" s="5"/>
      <c r="S57" s="128"/>
    </row>
    <row r="58" spans="1:19" s="113" customFormat="1" ht="15" customHeight="1">
      <c r="A58" s="2"/>
      <c r="B58" s="5"/>
      <c r="C58" s="5"/>
      <c r="D58" s="1"/>
      <c r="E58" s="15"/>
      <c r="F58" s="15"/>
      <c r="G58" s="77"/>
      <c r="H58" s="5"/>
      <c r="I58" s="128"/>
      <c r="J58" s="5"/>
      <c r="K58" s="128"/>
      <c r="L58" s="5"/>
      <c r="M58" s="128"/>
      <c r="N58" s="5"/>
      <c r="O58" s="128"/>
      <c r="P58" s="5"/>
      <c r="Q58" s="128"/>
      <c r="R58" s="5"/>
      <c r="S58" s="128"/>
    </row>
    <row r="59" spans="1:19" s="113" customFormat="1" ht="15" customHeight="1">
      <c r="A59" s="2"/>
      <c r="B59" s="5"/>
      <c r="C59" s="5"/>
      <c r="D59" s="1"/>
      <c r="E59" s="15"/>
      <c r="F59" s="15"/>
      <c r="G59" s="77"/>
      <c r="H59" s="5"/>
      <c r="I59" s="128"/>
      <c r="J59" s="5"/>
      <c r="K59" s="128"/>
      <c r="L59" s="5"/>
      <c r="M59" s="128"/>
      <c r="N59" s="5"/>
      <c r="O59" s="128"/>
      <c r="P59" s="5"/>
      <c r="Q59" s="128"/>
      <c r="R59" s="5"/>
      <c r="S59" s="128"/>
    </row>
    <row r="60" spans="1:19" s="113" customFormat="1" ht="15.75" customHeight="1">
      <c r="A60" s="2"/>
      <c r="B60" s="5"/>
      <c r="C60" s="5"/>
      <c r="D60" s="1"/>
      <c r="E60" s="15"/>
      <c r="F60" s="15"/>
      <c r="G60" s="77"/>
      <c r="H60" s="5"/>
      <c r="I60" s="128"/>
      <c r="J60" s="5"/>
      <c r="K60" s="128"/>
      <c r="L60" s="5"/>
      <c r="M60" s="128"/>
      <c r="N60" s="5"/>
      <c r="O60" s="128"/>
      <c r="P60" s="5"/>
      <c r="Q60" s="128"/>
      <c r="R60" s="5"/>
      <c r="S60" s="128"/>
    </row>
    <row r="61" spans="1:19" s="113" customFormat="1" ht="15.75" customHeight="1">
      <c r="A61" s="2"/>
      <c r="B61" s="5"/>
      <c r="C61" s="5"/>
      <c r="D61" s="1"/>
      <c r="E61" s="15"/>
      <c r="F61" s="15"/>
      <c r="G61" s="77"/>
      <c r="H61" s="5"/>
      <c r="I61" s="128"/>
      <c r="J61" s="5"/>
      <c r="K61" s="128"/>
      <c r="L61" s="5"/>
      <c r="M61" s="128"/>
      <c r="N61" s="5"/>
      <c r="O61" s="128"/>
      <c r="P61" s="5"/>
      <c r="Q61" s="128"/>
      <c r="R61" s="5"/>
      <c r="S61" s="128"/>
    </row>
    <row r="62" spans="1:19" s="113" customFormat="1" ht="15.75" customHeight="1">
      <c r="A62" s="2"/>
      <c r="B62" s="5"/>
      <c r="C62" s="5"/>
      <c r="D62" s="1"/>
      <c r="E62" s="15"/>
      <c r="F62" s="15"/>
      <c r="G62" s="77"/>
      <c r="H62" s="5"/>
      <c r="I62" s="128"/>
      <c r="J62" s="5"/>
      <c r="K62" s="128"/>
      <c r="L62" s="5"/>
      <c r="M62" s="128"/>
      <c r="N62" s="5"/>
      <c r="O62" s="128"/>
      <c r="P62" s="5"/>
      <c r="Q62" s="128"/>
      <c r="R62" s="5"/>
      <c r="S62" s="128"/>
    </row>
    <row r="63" spans="1:19" s="113" customFormat="1" ht="15.75" customHeight="1">
      <c r="A63" s="2"/>
      <c r="B63" s="5"/>
      <c r="C63" s="5"/>
      <c r="D63" s="1"/>
      <c r="E63" s="15"/>
      <c r="F63" s="15"/>
      <c r="G63" s="77"/>
      <c r="H63" s="5"/>
      <c r="I63" s="128"/>
      <c r="J63" s="5"/>
      <c r="K63" s="128"/>
      <c r="L63" s="5"/>
      <c r="M63" s="128"/>
      <c r="N63" s="5"/>
      <c r="O63" s="128"/>
      <c r="P63" s="5"/>
      <c r="Q63" s="128"/>
      <c r="R63" s="5"/>
      <c r="S63" s="128"/>
    </row>
    <row r="64" spans="1:19" s="113" customFormat="1" ht="15.75" customHeight="1">
      <c r="A64" s="2"/>
      <c r="B64" s="5"/>
      <c r="C64" s="5"/>
      <c r="D64" s="1"/>
      <c r="E64" s="15"/>
      <c r="F64" s="15"/>
      <c r="G64" s="77"/>
      <c r="H64" s="5"/>
      <c r="I64" s="128"/>
      <c r="J64" s="5"/>
      <c r="K64" s="128"/>
      <c r="L64" s="5"/>
      <c r="M64" s="128"/>
      <c r="N64" s="5"/>
      <c r="O64" s="128"/>
      <c r="P64" s="5"/>
      <c r="Q64" s="128"/>
      <c r="R64" s="5"/>
      <c r="S64" s="128"/>
    </row>
    <row r="65" spans="1:19" s="113" customFormat="1" ht="15.75" customHeight="1">
      <c r="A65" s="2"/>
      <c r="B65" s="5"/>
      <c r="C65" s="5"/>
      <c r="D65" s="1"/>
      <c r="E65" s="15"/>
      <c r="F65" s="15"/>
      <c r="G65" s="77"/>
      <c r="H65" s="5"/>
      <c r="I65" s="128"/>
      <c r="J65" s="5"/>
      <c r="K65" s="128"/>
      <c r="L65" s="5"/>
      <c r="M65" s="128"/>
      <c r="N65" s="5"/>
      <c r="O65" s="128"/>
      <c r="P65" s="5"/>
      <c r="Q65" s="128"/>
      <c r="R65" s="5"/>
      <c r="S65" s="128"/>
    </row>
    <row r="66" spans="1:19" s="113" customFormat="1" ht="15" customHeight="1">
      <c r="A66" s="2"/>
      <c r="B66" s="5"/>
      <c r="C66" s="5"/>
      <c r="D66" s="1"/>
      <c r="E66" s="15"/>
      <c r="F66" s="15"/>
      <c r="G66" s="77"/>
      <c r="H66" s="5"/>
      <c r="I66" s="128"/>
      <c r="J66" s="5"/>
      <c r="K66" s="128"/>
      <c r="L66" s="5"/>
      <c r="M66" s="128"/>
      <c r="N66" s="5"/>
      <c r="O66" s="128"/>
      <c r="P66" s="5"/>
      <c r="Q66" s="128"/>
      <c r="R66" s="5"/>
      <c r="S66" s="128"/>
    </row>
    <row r="67" spans="1:19" s="113" customFormat="1" ht="15" customHeight="1">
      <c r="A67" s="2"/>
      <c r="B67" s="5"/>
      <c r="C67" s="5"/>
      <c r="D67" s="1"/>
      <c r="E67" s="15"/>
      <c r="F67" s="15"/>
      <c r="G67" s="77"/>
      <c r="H67" s="5"/>
      <c r="I67" s="128"/>
      <c r="J67" s="5"/>
      <c r="K67" s="128"/>
      <c r="L67" s="5"/>
      <c r="M67" s="128"/>
      <c r="N67" s="5"/>
      <c r="O67" s="128"/>
      <c r="P67" s="5"/>
      <c r="Q67" s="128"/>
      <c r="R67" s="5"/>
      <c r="S67" s="128"/>
    </row>
    <row r="68" spans="1:19" s="113" customFormat="1" ht="15" customHeight="1">
      <c r="A68" s="2"/>
      <c r="B68" s="5"/>
      <c r="C68" s="5"/>
      <c r="D68" s="1"/>
      <c r="E68" s="15"/>
      <c r="F68" s="15"/>
      <c r="G68" s="77"/>
      <c r="H68" s="5"/>
      <c r="I68" s="128"/>
      <c r="J68" s="5"/>
      <c r="K68" s="128"/>
      <c r="L68" s="5"/>
      <c r="M68" s="128"/>
      <c r="N68" s="5"/>
      <c r="O68" s="128"/>
      <c r="P68" s="5"/>
      <c r="Q68" s="128"/>
      <c r="R68" s="5"/>
      <c r="S68" s="128"/>
    </row>
    <row r="69" spans="1:19" s="113" customFormat="1" ht="15" customHeight="1">
      <c r="A69" s="2"/>
      <c r="B69" s="5"/>
      <c r="C69" s="5"/>
      <c r="D69" s="1"/>
      <c r="E69" s="15"/>
      <c r="F69" s="15"/>
      <c r="G69" s="77"/>
      <c r="H69" s="5"/>
      <c r="I69" s="128"/>
      <c r="J69" s="5"/>
      <c r="K69" s="128"/>
      <c r="L69" s="5"/>
      <c r="M69" s="128"/>
      <c r="N69" s="5"/>
      <c r="O69" s="128"/>
      <c r="P69" s="5"/>
      <c r="Q69" s="128"/>
      <c r="R69" s="5"/>
      <c r="S69" s="128"/>
    </row>
    <row r="70" spans="1:19" s="113" customFormat="1" ht="15" customHeight="1">
      <c r="A70" s="2"/>
      <c r="B70" s="5"/>
      <c r="C70" s="5"/>
      <c r="D70" s="1"/>
      <c r="E70" s="15"/>
      <c r="F70" s="15"/>
      <c r="G70" s="77"/>
      <c r="H70" s="5"/>
      <c r="I70" s="128"/>
      <c r="J70" s="5"/>
      <c r="K70" s="128"/>
      <c r="L70" s="5"/>
      <c r="M70" s="128"/>
      <c r="N70" s="5"/>
      <c r="O70" s="128"/>
      <c r="P70" s="5"/>
      <c r="Q70" s="128"/>
      <c r="R70" s="5"/>
      <c r="S70" s="128"/>
    </row>
    <row r="71" spans="1:19" s="113" customFormat="1" ht="15" customHeight="1">
      <c r="A71" s="2"/>
      <c r="B71" s="5"/>
      <c r="C71" s="5"/>
      <c r="D71" s="1"/>
      <c r="E71" s="15"/>
      <c r="F71" s="15"/>
      <c r="G71" s="77"/>
      <c r="H71" s="5"/>
      <c r="I71" s="128"/>
      <c r="J71" s="5"/>
      <c r="K71" s="128"/>
      <c r="L71" s="5"/>
      <c r="M71" s="128"/>
      <c r="N71" s="5"/>
      <c r="O71" s="128"/>
      <c r="P71" s="5"/>
      <c r="Q71" s="128"/>
      <c r="R71" s="5"/>
      <c r="S71" s="128"/>
    </row>
    <row r="72" spans="1:19" s="113" customFormat="1" ht="15" customHeight="1">
      <c r="A72" s="2"/>
      <c r="B72" s="5"/>
      <c r="C72" s="5"/>
      <c r="D72" s="1"/>
      <c r="E72" s="15"/>
      <c r="F72" s="15"/>
      <c r="G72" s="77"/>
      <c r="H72" s="5"/>
      <c r="I72" s="128"/>
      <c r="J72" s="5"/>
      <c r="K72" s="128"/>
      <c r="L72" s="5"/>
      <c r="M72" s="128"/>
      <c r="N72" s="5"/>
      <c r="O72" s="128"/>
      <c r="P72" s="5"/>
      <c r="Q72" s="128"/>
      <c r="R72" s="5"/>
      <c r="S72" s="128"/>
    </row>
    <row r="73" spans="1:19" s="113" customFormat="1" ht="15" customHeight="1">
      <c r="A73" s="2"/>
      <c r="B73" s="5"/>
      <c r="C73" s="5"/>
      <c r="D73" s="1"/>
      <c r="E73" s="15"/>
      <c r="F73" s="15"/>
      <c r="G73" s="77"/>
      <c r="H73" s="5"/>
      <c r="I73" s="128"/>
      <c r="J73" s="5"/>
      <c r="K73" s="128"/>
      <c r="L73" s="5"/>
      <c r="M73" s="128"/>
      <c r="N73" s="5"/>
      <c r="O73" s="128"/>
      <c r="P73" s="5"/>
      <c r="Q73" s="128"/>
      <c r="R73" s="5"/>
      <c r="S73" s="128"/>
    </row>
    <row r="74" spans="1:19" s="113" customFormat="1" ht="15" customHeight="1">
      <c r="A74" s="2"/>
      <c r="B74" s="5"/>
      <c r="C74" s="5"/>
      <c r="D74" s="1"/>
      <c r="E74" s="15"/>
      <c r="F74" s="15"/>
      <c r="G74" s="77"/>
      <c r="H74" s="5"/>
      <c r="I74" s="128"/>
      <c r="J74" s="5"/>
      <c r="K74" s="128"/>
      <c r="L74" s="5"/>
      <c r="M74" s="128"/>
      <c r="N74" s="5"/>
      <c r="O74" s="128"/>
      <c r="P74" s="5"/>
      <c r="Q74" s="128"/>
      <c r="R74" s="5"/>
      <c r="S74" s="128"/>
    </row>
    <row r="75" spans="1:19" s="113" customFormat="1" ht="15" customHeight="1">
      <c r="A75" s="2"/>
      <c r="B75" s="5"/>
      <c r="C75" s="5"/>
      <c r="D75" s="1"/>
      <c r="E75" s="15"/>
      <c r="F75" s="15"/>
      <c r="G75" s="77"/>
      <c r="H75" s="5"/>
      <c r="I75" s="128"/>
      <c r="J75" s="5"/>
      <c r="K75" s="128"/>
      <c r="L75" s="5"/>
      <c r="M75" s="128"/>
      <c r="N75" s="5"/>
      <c r="O75" s="128"/>
      <c r="P75" s="5"/>
      <c r="Q75" s="128"/>
      <c r="R75" s="5"/>
      <c r="S75" s="128"/>
    </row>
    <row r="76" spans="1:19" s="113" customFormat="1" ht="15" customHeight="1">
      <c r="A76" s="2"/>
      <c r="B76" s="5"/>
      <c r="C76" s="5"/>
      <c r="D76" s="1"/>
      <c r="E76" s="15"/>
      <c r="F76" s="15"/>
      <c r="G76" s="77"/>
      <c r="H76" s="5"/>
      <c r="I76" s="128"/>
      <c r="J76" s="5"/>
      <c r="K76" s="128"/>
      <c r="L76" s="5"/>
      <c r="M76" s="128"/>
      <c r="N76" s="5"/>
      <c r="O76" s="128"/>
      <c r="P76" s="5"/>
      <c r="Q76" s="128"/>
      <c r="R76" s="5"/>
      <c r="S76" s="128"/>
    </row>
    <row r="77" spans="1:19" s="113" customFormat="1" ht="15" customHeight="1">
      <c r="A77" s="2"/>
      <c r="B77" s="5"/>
      <c r="C77" s="5"/>
      <c r="D77" s="1"/>
      <c r="E77" s="15"/>
      <c r="F77" s="15"/>
      <c r="G77" s="77"/>
      <c r="H77" s="5"/>
      <c r="I77" s="128"/>
      <c r="J77" s="5"/>
      <c r="K77" s="128"/>
      <c r="L77" s="5"/>
      <c r="M77" s="128"/>
      <c r="N77" s="5"/>
      <c r="O77" s="128"/>
      <c r="P77" s="5"/>
      <c r="Q77" s="128"/>
      <c r="R77" s="5"/>
      <c r="S77" s="128"/>
    </row>
    <row r="84" ht="8.25" customHeight="1"/>
    <row r="97" spans="1:19" s="113" customFormat="1" ht="15" customHeight="1">
      <c r="A97" s="2"/>
      <c r="B97" s="5"/>
      <c r="C97" s="5"/>
      <c r="D97" s="1"/>
      <c r="E97" s="15"/>
      <c r="F97" s="15"/>
      <c r="G97" s="77"/>
      <c r="H97" s="5"/>
      <c r="I97" s="128"/>
      <c r="J97" s="5"/>
      <c r="K97" s="128"/>
      <c r="L97" s="5"/>
      <c r="M97" s="128"/>
      <c r="N97" s="5"/>
      <c r="O97" s="128"/>
      <c r="P97" s="5"/>
      <c r="Q97" s="128"/>
      <c r="R97" s="5"/>
      <c r="S97" s="128"/>
    </row>
    <row r="98" spans="1:19" s="113" customFormat="1" ht="15" customHeight="1">
      <c r="A98" s="2"/>
      <c r="B98" s="5"/>
      <c r="C98" s="5"/>
      <c r="D98" s="1"/>
      <c r="E98" s="15"/>
      <c r="F98" s="15"/>
      <c r="G98" s="77"/>
      <c r="H98" s="5"/>
      <c r="I98" s="128"/>
      <c r="J98" s="5"/>
      <c r="K98" s="128"/>
      <c r="L98" s="5"/>
      <c r="M98" s="128"/>
      <c r="N98" s="5"/>
      <c r="O98" s="128"/>
      <c r="P98" s="5"/>
      <c r="Q98" s="128"/>
      <c r="R98" s="5"/>
      <c r="S98" s="128"/>
    </row>
    <row r="99" spans="1:19" s="113" customFormat="1" ht="15" customHeight="1">
      <c r="A99" s="2"/>
      <c r="B99" s="5"/>
      <c r="C99" s="5"/>
      <c r="D99" s="1"/>
      <c r="E99" s="15"/>
      <c r="F99" s="15"/>
      <c r="G99" s="77"/>
      <c r="H99" s="5"/>
      <c r="I99" s="128"/>
      <c r="J99" s="5"/>
      <c r="K99" s="128"/>
      <c r="L99" s="5"/>
      <c r="M99" s="128"/>
      <c r="N99" s="5"/>
      <c r="O99" s="128"/>
      <c r="P99" s="5"/>
      <c r="Q99" s="128"/>
      <c r="R99" s="5"/>
      <c r="S99" s="128"/>
    </row>
    <row r="100" spans="1:19" s="113" customFormat="1" ht="15" customHeight="1">
      <c r="A100" s="2"/>
      <c r="B100" s="5"/>
      <c r="C100" s="5"/>
      <c r="D100" s="1"/>
      <c r="E100" s="15"/>
      <c r="F100" s="15"/>
      <c r="G100" s="77"/>
      <c r="H100" s="5"/>
      <c r="I100" s="128"/>
      <c r="J100" s="5"/>
      <c r="K100" s="128"/>
      <c r="L100" s="5"/>
      <c r="M100" s="128"/>
      <c r="N100" s="5"/>
      <c r="O100" s="128"/>
      <c r="P100" s="5"/>
      <c r="Q100" s="128"/>
      <c r="R100" s="5"/>
      <c r="S100" s="128"/>
    </row>
    <row r="101" spans="1:19" s="113" customFormat="1" ht="15" customHeight="1">
      <c r="A101" s="2"/>
      <c r="B101" s="5"/>
      <c r="C101" s="5"/>
      <c r="D101" s="1"/>
      <c r="E101" s="15"/>
      <c r="F101" s="15"/>
      <c r="G101" s="77"/>
      <c r="H101" s="5"/>
      <c r="I101" s="128"/>
      <c r="J101" s="5"/>
      <c r="K101" s="128"/>
      <c r="L101" s="5"/>
      <c r="M101" s="128"/>
      <c r="N101" s="5"/>
      <c r="O101" s="128"/>
      <c r="P101" s="5"/>
      <c r="Q101" s="128"/>
      <c r="R101" s="5"/>
      <c r="S101" s="128"/>
    </row>
    <row r="102" spans="1:19" s="113" customFormat="1" ht="15" customHeight="1">
      <c r="A102" s="2"/>
      <c r="B102" s="5"/>
      <c r="C102" s="5"/>
      <c r="D102" s="1"/>
      <c r="E102" s="15"/>
      <c r="F102" s="15"/>
      <c r="G102" s="77"/>
      <c r="H102" s="5"/>
      <c r="I102" s="128"/>
      <c r="J102" s="5"/>
      <c r="K102" s="128"/>
      <c r="L102" s="5"/>
      <c r="M102" s="128"/>
      <c r="N102" s="5"/>
      <c r="O102" s="128"/>
      <c r="P102" s="5"/>
      <c r="Q102" s="128"/>
      <c r="R102" s="5"/>
      <c r="S102" s="128"/>
    </row>
    <row r="115" spans="1:19" s="113" customFormat="1" ht="15" customHeight="1">
      <c r="A115" s="2"/>
      <c r="B115" s="5"/>
      <c r="C115" s="5"/>
      <c r="D115" s="1"/>
      <c r="E115" s="15"/>
      <c r="F115" s="15"/>
      <c r="G115" s="77"/>
      <c r="H115" s="5"/>
      <c r="I115" s="128"/>
      <c r="J115" s="5"/>
      <c r="K115" s="128"/>
      <c r="L115" s="5"/>
      <c r="M115" s="128"/>
      <c r="N115" s="5"/>
      <c r="O115" s="128"/>
      <c r="P115" s="5"/>
      <c r="Q115" s="128"/>
      <c r="R115" s="5"/>
      <c r="S115" s="128"/>
    </row>
    <row r="116" spans="1:19" s="113" customFormat="1" ht="15" customHeight="1">
      <c r="A116" s="2"/>
      <c r="B116" s="5"/>
      <c r="C116" s="5"/>
      <c r="D116" s="1"/>
      <c r="E116" s="15"/>
      <c r="F116" s="15"/>
      <c r="G116" s="77"/>
      <c r="H116" s="5"/>
      <c r="I116" s="128"/>
      <c r="J116" s="5"/>
      <c r="K116" s="128"/>
      <c r="L116" s="5"/>
      <c r="M116" s="128"/>
      <c r="N116" s="5"/>
      <c r="O116" s="128"/>
      <c r="P116" s="5"/>
      <c r="Q116" s="128"/>
      <c r="R116" s="5"/>
      <c r="S116" s="128"/>
    </row>
    <row r="117" spans="1:19" s="113" customFormat="1" ht="15" customHeight="1">
      <c r="A117" s="2"/>
      <c r="B117" s="5"/>
      <c r="C117" s="5"/>
      <c r="D117" s="1"/>
      <c r="E117" s="15"/>
      <c r="F117" s="15"/>
      <c r="G117" s="77"/>
      <c r="H117" s="5"/>
      <c r="I117" s="128"/>
      <c r="J117" s="5"/>
      <c r="K117" s="128"/>
      <c r="L117" s="5"/>
      <c r="M117" s="128"/>
      <c r="N117" s="5"/>
      <c r="O117" s="128"/>
      <c r="P117" s="5"/>
      <c r="Q117" s="128"/>
      <c r="R117" s="5"/>
      <c r="S117" s="128"/>
    </row>
    <row r="118" spans="1:19" s="113" customFormat="1" ht="15" customHeight="1">
      <c r="A118" s="2"/>
      <c r="B118" s="5"/>
      <c r="C118" s="5"/>
      <c r="D118" s="1"/>
      <c r="E118" s="15"/>
      <c r="F118" s="15"/>
      <c r="G118" s="77"/>
      <c r="H118" s="5"/>
      <c r="I118" s="128"/>
      <c r="J118" s="5"/>
      <c r="K118" s="128"/>
      <c r="L118" s="5"/>
      <c r="M118" s="128"/>
      <c r="N118" s="5"/>
      <c r="O118" s="128"/>
      <c r="P118" s="5"/>
      <c r="Q118" s="128"/>
      <c r="R118" s="5"/>
      <c r="S118" s="128"/>
    </row>
    <row r="119" spans="1:19" s="113" customFormat="1" ht="15" customHeight="1">
      <c r="A119" s="2"/>
      <c r="B119" s="5"/>
      <c r="C119" s="5"/>
      <c r="D119" s="1"/>
      <c r="E119" s="15"/>
      <c r="F119" s="15"/>
      <c r="G119" s="77"/>
      <c r="H119" s="5"/>
      <c r="I119" s="128"/>
      <c r="J119" s="5"/>
      <c r="K119" s="128"/>
      <c r="L119" s="5"/>
      <c r="M119" s="128"/>
      <c r="N119" s="5"/>
      <c r="O119" s="128"/>
      <c r="P119" s="5"/>
      <c r="Q119" s="128"/>
      <c r="R119" s="5"/>
      <c r="S119" s="128"/>
    </row>
    <row r="120" spans="1:19" s="113" customFormat="1" ht="15" customHeight="1">
      <c r="A120" s="2"/>
      <c r="B120" s="5"/>
      <c r="C120" s="5"/>
      <c r="D120" s="1"/>
      <c r="E120" s="15"/>
      <c r="F120" s="15"/>
      <c r="G120" s="77"/>
      <c r="H120" s="5"/>
      <c r="I120" s="128"/>
      <c r="J120" s="5"/>
      <c r="K120" s="128"/>
      <c r="L120" s="5"/>
      <c r="M120" s="128"/>
      <c r="N120" s="5"/>
      <c r="O120" s="128"/>
      <c r="P120" s="5"/>
      <c r="Q120" s="128"/>
      <c r="R120" s="5"/>
      <c r="S120" s="128"/>
    </row>
    <row r="127" spans="1:19" s="113" customFormat="1" ht="11.25" customHeight="1">
      <c r="A127" s="2"/>
      <c r="B127" s="5"/>
      <c r="C127" s="5"/>
      <c r="D127" s="1"/>
      <c r="E127" s="15"/>
      <c r="F127" s="15"/>
      <c r="G127" s="77"/>
      <c r="H127" s="5"/>
      <c r="I127" s="128"/>
      <c r="J127" s="5"/>
      <c r="K127" s="128"/>
      <c r="L127" s="5"/>
      <c r="M127" s="128"/>
      <c r="N127" s="5"/>
      <c r="O127" s="128"/>
      <c r="P127" s="5"/>
      <c r="Q127" s="128"/>
      <c r="R127" s="5"/>
      <c r="S127" s="128"/>
    </row>
    <row r="146" spans="1:19" s="113" customFormat="1" ht="15">
      <c r="A146" s="2"/>
      <c r="B146" s="5"/>
      <c r="C146" s="5"/>
      <c r="D146" s="1"/>
      <c r="E146" s="15"/>
      <c r="F146" s="15"/>
      <c r="G146" s="77"/>
      <c r="H146" s="5"/>
      <c r="I146" s="128"/>
      <c r="J146" s="5"/>
      <c r="K146" s="128"/>
      <c r="L146" s="5"/>
      <c r="M146" s="128"/>
      <c r="N146" s="5"/>
      <c r="O146" s="128"/>
      <c r="P146" s="5"/>
      <c r="Q146" s="128"/>
      <c r="R146" s="5"/>
      <c r="S146" s="128"/>
    </row>
    <row r="147" spans="1:19" s="113" customFormat="1" ht="15">
      <c r="A147" s="2"/>
      <c r="B147" s="5"/>
      <c r="C147" s="5"/>
      <c r="D147" s="1"/>
      <c r="E147" s="15"/>
      <c r="F147" s="15"/>
      <c r="G147" s="77"/>
      <c r="H147" s="5"/>
      <c r="I147" s="128"/>
      <c r="J147" s="5"/>
      <c r="K147" s="128"/>
      <c r="L147" s="5"/>
      <c r="M147" s="128"/>
      <c r="N147" s="5"/>
      <c r="O147" s="128"/>
      <c r="P147" s="5"/>
      <c r="Q147" s="128"/>
      <c r="R147" s="5"/>
      <c r="S147" s="128"/>
    </row>
    <row r="148" spans="1:19" s="113" customFormat="1" ht="15">
      <c r="A148" s="2"/>
      <c r="B148" s="5"/>
      <c r="C148" s="5"/>
      <c r="D148" s="1"/>
      <c r="E148" s="15"/>
      <c r="F148" s="15"/>
      <c r="G148" s="77"/>
      <c r="H148" s="5"/>
      <c r="I148" s="128"/>
      <c r="J148" s="5"/>
      <c r="K148" s="128"/>
      <c r="L148" s="5"/>
      <c r="M148" s="128"/>
      <c r="N148" s="5"/>
      <c r="O148" s="128"/>
      <c r="P148" s="5"/>
      <c r="Q148" s="128"/>
      <c r="R148" s="5"/>
      <c r="S148" s="128"/>
    </row>
    <row r="149" spans="1:19" s="113" customFormat="1" ht="15">
      <c r="A149" s="2"/>
      <c r="B149" s="5"/>
      <c r="C149" s="5"/>
      <c r="D149" s="1"/>
      <c r="E149" s="15"/>
      <c r="F149" s="15"/>
      <c r="G149" s="77"/>
      <c r="H149" s="5"/>
      <c r="I149" s="128"/>
      <c r="J149" s="5"/>
      <c r="K149" s="128"/>
      <c r="L149" s="5"/>
      <c r="M149" s="128"/>
      <c r="N149" s="5"/>
      <c r="O149" s="128"/>
      <c r="P149" s="5"/>
      <c r="Q149" s="128"/>
      <c r="R149" s="5"/>
      <c r="S149" s="128"/>
    </row>
    <row r="150" spans="1:19" s="113" customFormat="1" ht="15">
      <c r="A150" s="2"/>
      <c r="B150" s="5"/>
      <c r="C150" s="5"/>
      <c r="D150" s="1"/>
      <c r="E150" s="15"/>
      <c r="F150" s="15"/>
      <c r="G150" s="77"/>
      <c r="H150" s="5"/>
      <c r="I150" s="128"/>
      <c r="J150" s="5"/>
      <c r="K150" s="128"/>
      <c r="L150" s="5"/>
      <c r="M150" s="128"/>
      <c r="N150" s="5"/>
      <c r="O150" s="128"/>
      <c r="P150" s="5"/>
      <c r="Q150" s="128"/>
      <c r="R150" s="5"/>
      <c r="S150" s="128"/>
    </row>
    <row r="151" spans="1:19" s="113" customFormat="1" ht="15">
      <c r="A151" s="2"/>
      <c r="B151" s="5"/>
      <c r="C151" s="5"/>
      <c r="D151" s="1"/>
      <c r="E151" s="15"/>
      <c r="F151" s="15"/>
      <c r="G151" s="77"/>
      <c r="H151" s="5"/>
      <c r="I151" s="128"/>
      <c r="J151" s="5"/>
      <c r="K151" s="128"/>
      <c r="L151" s="5"/>
      <c r="M151" s="128"/>
      <c r="N151" s="5"/>
      <c r="O151" s="128"/>
      <c r="P151" s="5"/>
      <c r="Q151" s="128"/>
      <c r="R151" s="5"/>
      <c r="S151" s="128"/>
    </row>
  </sheetData>
  <mergeCells count="1">
    <mergeCell ref="D2:E2"/>
  </mergeCells>
  <conditionalFormatting sqref="A194 A188 A183 A182:IV182 A200 B200:IV65536 A206:A65536 A145 A136:A140 B135:IV139 T133:IV133 T170:IV175 A157 T103:IV108 T121:IV126 A65 N47:S65 A5 A22:A29 B66:S134 A34:A41 A2:S4 B35:G40 T2:IV83 A10:A17">
    <cfRule type="cellIs" priority="1" dxfId="0" operator="between" stopIfTrue="1">
      <formula>3000</formula>
      <formula>3099</formula>
    </cfRule>
    <cfRule type="cellIs" priority="2" dxfId="1" operator="between" stopIfTrue="1">
      <formula>600</formula>
      <formula>699</formula>
    </cfRule>
    <cfRule type="cellIs" priority="3" dxfId="1" operator="between" stopIfTrue="1">
      <formula>700</formula>
      <formula>799</formula>
    </cfRule>
  </conditionalFormatting>
  <conditionalFormatting sqref="H5:S46">
    <cfRule type="cellIs" priority="4" dxfId="2" operator="between" stopIfTrue="1">
      <formula>3000</formula>
      <formula>3099</formula>
    </cfRule>
    <cfRule type="cellIs" priority="5" dxfId="3" operator="between" stopIfTrue="1">
      <formula>2900</formula>
      <formula>2999</formula>
    </cfRule>
    <cfRule type="cellIs" priority="6" dxfId="1" operator="between" stopIfTrue="1">
      <formula>700</formula>
      <formula>799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5.00390625" style="22" customWidth="1"/>
    <col min="2" max="2" width="23.140625" style="22" bestFit="1" customWidth="1"/>
    <col min="3" max="3" width="21.28125" style="22" bestFit="1" customWidth="1"/>
    <col min="4" max="4" width="5.7109375" style="22" customWidth="1"/>
    <col min="5" max="5" width="5.140625" style="83" bestFit="1" customWidth="1"/>
    <col min="6" max="6" width="5.8515625" style="22" bestFit="1" customWidth="1"/>
    <col min="7" max="7" width="6.421875" style="83" customWidth="1"/>
    <col min="8" max="8" width="5.8515625" style="22" bestFit="1" customWidth="1"/>
    <col min="9" max="9" width="5.28125" style="22" customWidth="1"/>
    <col min="10" max="10" width="5.8515625" style="22" bestFit="1" customWidth="1"/>
    <col min="11" max="11" width="4.7109375" style="22" bestFit="1" customWidth="1"/>
    <col min="12" max="12" width="5.8515625" style="22" bestFit="1" customWidth="1"/>
    <col min="13" max="13" width="4.7109375" style="22" bestFit="1" customWidth="1"/>
    <col min="14" max="14" width="5.8515625" style="22" bestFit="1" customWidth="1"/>
    <col min="15" max="15" width="4.7109375" style="22" bestFit="1" customWidth="1"/>
    <col min="16" max="16" width="5.57421875" style="22" customWidth="1"/>
    <col min="17" max="17" width="4.7109375" style="83" customWidth="1"/>
    <col min="18" max="18" width="9.140625" style="22" customWidth="1"/>
    <col min="19" max="19" width="12.00390625" style="22" bestFit="1" customWidth="1"/>
    <col min="20" max="20" width="12.8515625" style="22" customWidth="1"/>
    <col min="21" max="21" width="6.28125" style="120" customWidth="1"/>
    <col min="22" max="16384" width="9.140625" style="22" customWidth="1"/>
  </cols>
  <sheetData>
    <row r="1" spans="1:21" s="18" customFormat="1" ht="5.25" customHeight="1">
      <c r="A1" s="16"/>
      <c r="B1" s="16"/>
      <c r="C1" s="16"/>
      <c r="D1" s="206" t="s">
        <v>160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36"/>
      <c r="R1" s="206"/>
      <c r="S1" s="206"/>
      <c r="U1" s="117"/>
    </row>
    <row r="2" spans="1:21" s="18" customFormat="1" ht="20.25" customHeight="1">
      <c r="A2" s="16"/>
      <c r="B2" s="17" t="s">
        <v>16</v>
      </c>
      <c r="C2" s="1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36"/>
      <c r="R2" s="206"/>
      <c r="S2" s="206"/>
      <c r="U2" s="117"/>
    </row>
    <row r="3" spans="1:21" s="91" customFormat="1" ht="28.5" customHeight="1">
      <c r="A3" s="85" t="s">
        <v>17</v>
      </c>
      <c r="B3" s="86" t="s">
        <v>18</v>
      </c>
      <c r="C3" s="86" t="s">
        <v>0</v>
      </c>
      <c r="D3" s="87" t="s">
        <v>19</v>
      </c>
      <c r="E3" s="88" t="s">
        <v>60</v>
      </c>
      <c r="F3" s="87" t="s">
        <v>20</v>
      </c>
      <c r="G3" s="88" t="s">
        <v>61</v>
      </c>
      <c r="H3" s="87" t="s">
        <v>21</v>
      </c>
      <c r="I3" s="87" t="s">
        <v>62</v>
      </c>
      <c r="J3" s="87" t="s">
        <v>22</v>
      </c>
      <c r="K3" s="87" t="s">
        <v>63</v>
      </c>
      <c r="L3" s="87" t="s">
        <v>23</v>
      </c>
      <c r="M3" s="87" t="s">
        <v>64</v>
      </c>
      <c r="N3" s="87" t="s">
        <v>24</v>
      </c>
      <c r="O3" s="87" t="s">
        <v>65</v>
      </c>
      <c r="P3" s="85" t="s">
        <v>358</v>
      </c>
      <c r="Q3" s="237" t="s">
        <v>359</v>
      </c>
      <c r="R3" s="89" t="s">
        <v>25</v>
      </c>
      <c r="S3" s="90" t="s">
        <v>70</v>
      </c>
      <c r="T3" s="90" t="s">
        <v>71</v>
      </c>
      <c r="U3" s="118" t="s">
        <v>39</v>
      </c>
    </row>
    <row r="4" spans="1:21" s="21" customFormat="1" ht="15.75" customHeight="1">
      <c r="A4" s="19">
        <v>1</v>
      </c>
      <c r="B4" s="19" t="s">
        <v>214</v>
      </c>
      <c r="C4" s="19" t="s">
        <v>227</v>
      </c>
      <c r="D4" s="19">
        <v>1030</v>
      </c>
      <c r="E4" s="82">
        <v>730</v>
      </c>
      <c r="F4" s="19">
        <v>908</v>
      </c>
      <c r="G4" s="82">
        <v>733</v>
      </c>
      <c r="H4" s="19">
        <v>973</v>
      </c>
      <c r="I4" s="82">
        <v>798</v>
      </c>
      <c r="J4" s="19">
        <v>964</v>
      </c>
      <c r="K4" s="19">
        <v>809</v>
      </c>
      <c r="L4" s="82"/>
      <c r="M4" s="82"/>
      <c r="N4" s="82"/>
      <c r="O4" s="82"/>
      <c r="P4" s="82"/>
      <c r="Q4" s="82"/>
      <c r="R4" s="19">
        <f>SUM(D4+F4+H4+J4+L4+N4+P4)</f>
        <v>3875</v>
      </c>
      <c r="S4" s="20">
        <f>AVERAGE(D4,F4,H4,J4,L4,N4,P4)/5</f>
        <v>193.75</v>
      </c>
      <c r="T4" s="20">
        <f>AVERAGE(E4,G4,I4,K4,M4,O4,Q4)/5</f>
        <v>153.5</v>
      </c>
      <c r="U4" s="119">
        <f aca="true" t="shared" si="0" ref="U4:U80">(190-T4)*0.8</f>
        <v>29.200000000000003</v>
      </c>
    </row>
    <row r="5" spans="1:21" s="21" customFormat="1" ht="15.75" customHeight="1">
      <c r="A5" s="19">
        <v>2</v>
      </c>
      <c r="B5" s="19" t="s">
        <v>117</v>
      </c>
      <c r="C5" s="19" t="s">
        <v>132</v>
      </c>
      <c r="D5" s="19">
        <v>820</v>
      </c>
      <c r="E5" s="82">
        <v>720</v>
      </c>
      <c r="F5" s="19">
        <v>965</v>
      </c>
      <c r="G5" s="82">
        <v>780</v>
      </c>
      <c r="H5" s="19">
        <v>850</v>
      </c>
      <c r="I5" s="82">
        <v>690</v>
      </c>
      <c r="J5" s="19">
        <v>988</v>
      </c>
      <c r="K5" s="19">
        <v>813</v>
      </c>
      <c r="L5" s="82">
        <v>1049</v>
      </c>
      <c r="M5" s="19">
        <v>889</v>
      </c>
      <c r="N5" s="82">
        <v>1086</v>
      </c>
      <c r="O5" s="82">
        <v>951</v>
      </c>
      <c r="P5" s="19">
        <v>881</v>
      </c>
      <c r="Q5" s="82">
        <v>766</v>
      </c>
      <c r="R5" s="19">
        <f aca="true" t="shared" si="1" ref="R5:R68">SUM(D5+F5+H5+J5+L5+N5+P5)</f>
        <v>6639</v>
      </c>
      <c r="S5" s="20">
        <f aca="true" t="shared" si="2" ref="S5:T68">AVERAGE(D5,F5,H5,J5,L5,N5,P5)/5</f>
        <v>189.68571428571428</v>
      </c>
      <c r="T5" s="20">
        <f t="shared" si="2"/>
        <v>160.25714285714287</v>
      </c>
      <c r="U5" s="119">
        <f t="shared" si="0"/>
        <v>23.794285714285706</v>
      </c>
    </row>
    <row r="6" spans="1:21" s="21" customFormat="1" ht="15.75" customHeight="1">
      <c r="A6" s="19">
        <f aca="true" t="shared" si="3" ref="A6:A63">A5+1</f>
        <v>3</v>
      </c>
      <c r="B6" s="19" t="s">
        <v>248</v>
      </c>
      <c r="C6" s="19" t="s">
        <v>257</v>
      </c>
      <c r="D6" s="164">
        <v>1092</v>
      </c>
      <c r="E6" s="82">
        <v>792</v>
      </c>
      <c r="F6" s="19">
        <v>969</v>
      </c>
      <c r="G6" s="19">
        <v>844</v>
      </c>
      <c r="H6" s="19">
        <v>941</v>
      </c>
      <c r="I6" s="19">
        <v>836</v>
      </c>
      <c r="J6" s="19">
        <v>907</v>
      </c>
      <c r="K6" s="19">
        <v>807</v>
      </c>
      <c r="L6" s="19">
        <v>892</v>
      </c>
      <c r="M6" s="82">
        <v>787</v>
      </c>
      <c r="N6" s="82">
        <v>921</v>
      </c>
      <c r="O6" s="19">
        <v>811</v>
      </c>
      <c r="P6" s="19">
        <v>884</v>
      </c>
      <c r="Q6" s="82">
        <v>774</v>
      </c>
      <c r="R6" s="19">
        <f t="shared" si="1"/>
        <v>6606</v>
      </c>
      <c r="S6" s="20">
        <f t="shared" si="2"/>
        <v>188.74285714285713</v>
      </c>
      <c r="T6" s="20">
        <f t="shared" si="2"/>
        <v>161.45714285714286</v>
      </c>
      <c r="U6" s="119">
        <f t="shared" si="0"/>
        <v>22.834285714285716</v>
      </c>
    </row>
    <row r="7" spans="1:21" s="21" customFormat="1" ht="15.75" customHeight="1">
      <c r="A7" s="19">
        <f t="shared" si="3"/>
        <v>4</v>
      </c>
      <c r="B7" s="19" t="s">
        <v>236</v>
      </c>
      <c r="C7" s="19" t="s">
        <v>233</v>
      </c>
      <c r="D7" s="19">
        <v>799</v>
      </c>
      <c r="E7" s="82">
        <v>764</v>
      </c>
      <c r="F7" s="19">
        <v>1038</v>
      </c>
      <c r="G7" s="19">
        <v>888</v>
      </c>
      <c r="H7" s="19"/>
      <c r="I7" s="82"/>
      <c r="J7" s="19">
        <v>929</v>
      </c>
      <c r="K7" s="19">
        <v>829</v>
      </c>
      <c r="L7" s="82">
        <v>1027</v>
      </c>
      <c r="M7" s="82">
        <v>927</v>
      </c>
      <c r="N7" s="82">
        <v>926</v>
      </c>
      <c r="O7" s="19">
        <v>846</v>
      </c>
      <c r="P7" s="19">
        <v>914</v>
      </c>
      <c r="Q7" s="82">
        <v>834</v>
      </c>
      <c r="R7" s="19">
        <f t="shared" si="1"/>
        <v>5633</v>
      </c>
      <c r="S7" s="20">
        <f t="shared" si="2"/>
        <v>187.76666666666668</v>
      </c>
      <c r="T7" s="20">
        <f t="shared" si="2"/>
        <v>169.6</v>
      </c>
      <c r="U7" s="119">
        <f t="shared" si="0"/>
        <v>16.320000000000004</v>
      </c>
    </row>
    <row r="8" spans="1:21" s="21" customFormat="1" ht="15.75" customHeight="1">
      <c r="A8" s="19">
        <f t="shared" si="3"/>
        <v>5</v>
      </c>
      <c r="B8" s="19" t="s">
        <v>91</v>
      </c>
      <c r="C8" s="19" t="s">
        <v>102</v>
      </c>
      <c r="D8" s="19">
        <v>906</v>
      </c>
      <c r="E8" s="82">
        <v>791</v>
      </c>
      <c r="F8" s="19">
        <v>990</v>
      </c>
      <c r="G8" s="19">
        <v>865</v>
      </c>
      <c r="H8" s="19">
        <v>960</v>
      </c>
      <c r="I8" s="19">
        <v>860</v>
      </c>
      <c r="J8" s="19">
        <v>879</v>
      </c>
      <c r="K8" s="82">
        <v>789</v>
      </c>
      <c r="L8" s="19">
        <v>891</v>
      </c>
      <c r="M8" s="82">
        <v>791</v>
      </c>
      <c r="N8" s="82">
        <v>986</v>
      </c>
      <c r="O8" s="19">
        <v>881</v>
      </c>
      <c r="P8" s="19">
        <v>946</v>
      </c>
      <c r="Q8" s="82">
        <v>851</v>
      </c>
      <c r="R8" s="19">
        <f t="shared" si="1"/>
        <v>6558</v>
      </c>
      <c r="S8" s="20">
        <f t="shared" si="2"/>
        <v>187.37142857142857</v>
      </c>
      <c r="T8" s="20">
        <f t="shared" si="2"/>
        <v>166.5142857142857</v>
      </c>
      <c r="U8" s="119">
        <f t="shared" si="0"/>
        <v>18.788571428571437</v>
      </c>
    </row>
    <row r="9" spans="1:21" s="21" customFormat="1" ht="15.75" customHeight="1">
      <c r="A9" s="19">
        <f t="shared" si="3"/>
        <v>6</v>
      </c>
      <c r="B9" s="19" t="s">
        <v>151</v>
      </c>
      <c r="C9" s="19" t="s">
        <v>164</v>
      </c>
      <c r="D9" s="19">
        <v>1011</v>
      </c>
      <c r="E9" s="82">
        <v>711</v>
      </c>
      <c r="F9" s="19">
        <v>949</v>
      </c>
      <c r="G9" s="82">
        <v>759</v>
      </c>
      <c r="H9" s="19">
        <v>920</v>
      </c>
      <c r="I9" s="82">
        <v>750</v>
      </c>
      <c r="J9" s="19">
        <v>916</v>
      </c>
      <c r="K9" s="82">
        <v>746</v>
      </c>
      <c r="L9" s="19">
        <v>830</v>
      </c>
      <c r="M9" s="82">
        <v>665</v>
      </c>
      <c r="N9" s="82">
        <v>979</v>
      </c>
      <c r="O9" s="82">
        <v>799</v>
      </c>
      <c r="P9" s="82"/>
      <c r="Q9" s="82"/>
      <c r="R9" s="19">
        <f t="shared" si="1"/>
        <v>5605</v>
      </c>
      <c r="S9" s="20">
        <f t="shared" si="2"/>
        <v>186.83333333333331</v>
      </c>
      <c r="T9" s="20">
        <f t="shared" si="2"/>
        <v>147.66666666666669</v>
      </c>
      <c r="U9" s="119">
        <f t="shared" si="0"/>
        <v>33.86666666666665</v>
      </c>
    </row>
    <row r="10" spans="1:21" s="21" customFormat="1" ht="15.75" customHeight="1">
      <c r="A10" s="19">
        <f t="shared" si="3"/>
        <v>7</v>
      </c>
      <c r="B10" s="19" t="s">
        <v>26</v>
      </c>
      <c r="C10" s="19" t="s">
        <v>69</v>
      </c>
      <c r="D10" s="19">
        <v>954</v>
      </c>
      <c r="E10" s="82">
        <v>924</v>
      </c>
      <c r="F10" s="19">
        <v>1020</v>
      </c>
      <c r="G10" s="82">
        <v>1000</v>
      </c>
      <c r="H10" s="19">
        <v>883</v>
      </c>
      <c r="I10" s="19">
        <v>883</v>
      </c>
      <c r="J10" s="19">
        <v>887</v>
      </c>
      <c r="K10" s="19">
        <v>877</v>
      </c>
      <c r="L10" s="19">
        <v>854</v>
      </c>
      <c r="M10" s="19">
        <v>829</v>
      </c>
      <c r="N10" s="82">
        <v>990</v>
      </c>
      <c r="O10" s="82">
        <v>950</v>
      </c>
      <c r="P10" s="82">
        <v>947</v>
      </c>
      <c r="Q10" s="82">
        <v>917</v>
      </c>
      <c r="R10" s="19">
        <f t="shared" si="1"/>
        <v>6535</v>
      </c>
      <c r="S10" s="20">
        <f t="shared" si="2"/>
        <v>186.71428571428572</v>
      </c>
      <c r="T10" s="20">
        <f t="shared" si="2"/>
        <v>182.28571428571428</v>
      </c>
      <c r="U10" s="119">
        <f t="shared" si="0"/>
        <v>6.171428571428578</v>
      </c>
    </row>
    <row r="11" spans="1:21" s="21" customFormat="1" ht="15.75" customHeight="1">
      <c r="A11" s="19">
        <f t="shared" si="3"/>
        <v>8</v>
      </c>
      <c r="B11" s="19" t="s">
        <v>176</v>
      </c>
      <c r="C11" s="19" t="s">
        <v>174</v>
      </c>
      <c r="D11" s="19">
        <v>918</v>
      </c>
      <c r="E11" s="19">
        <v>818</v>
      </c>
      <c r="F11" s="19">
        <v>877</v>
      </c>
      <c r="G11" s="82">
        <v>772</v>
      </c>
      <c r="H11" s="19">
        <v>954</v>
      </c>
      <c r="I11" s="19">
        <v>829</v>
      </c>
      <c r="J11" s="19">
        <v>853</v>
      </c>
      <c r="K11" s="82">
        <v>738</v>
      </c>
      <c r="L11" s="82">
        <v>929</v>
      </c>
      <c r="M11" s="82">
        <v>799</v>
      </c>
      <c r="N11" s="82">
        <v>973</v>
      </c>
      <c r="O11" s="19">
        <v>848</v>
      </c>
      <c r="P11" s="19">
        <v>1016</v>
      </c>
      <c r="Q11" s="82">
        <v>896</v>
      </c>
      <c r="R11" s="19">
        <f t="shared" si="1"/>
        <v>6520</v>
      </c>
      <c r="S11" s="20">
        <f t="shared" si="2"/>
        <v>186.28571428571428</v>
      </c>
      <c r="T11" s="20">
        <f t="shared" si="2"/>
        <v>162.85714285714286</v>
      </c>
      <c r="U11" s="119">
        <f t="shared" si="0"/>
        <v>21.71428571428571</v>
      </c>
    </row>
    <row r="12" spans="1:21" s="21" customFormat="1" ht="15.75" customHeight="1">
      <c r="A12" s="19">
        <f t="shared" si="3"/>
        <v>9</v>
      </c>
      <c r="B12" s="19" t="s">
        <v>246</v>
      </c>
      <c r="C12" s="19" t="s">
        <v>257</v>
      </c>
      <c r="D12" s="19">
        <v>965</v>
      </c>
      <c r="E12" s="19">
        <v>860</v>
      </c>
      <c r="F12" s="19">
        <v>849</v>
      </c>
      <c r="G12" s="82">
        <v>779</v>
      </c>
      <c r="H12" s="19">
        <v>928</v>
      </c>
      <c r="I12" s="19">
        <v>823</v>
      </c>
      <c r="J12" s="19">
        <v>926</v>
      </c>
      <c r="K12" s="19">
        <v>821</v>
      </c>
      <c r="L12" s="82">
        <v>925</v>
      </c>
      <c r="M12" s="19">
        <v>820</v>
      </c>
      <c r="N12" s="82">
        <v>1020</v>
      </c>
      <c r="O12" s="82">
        <v>915</v>
      </c>
      <c r="P12" s="82">
        <v>904</v>
      </c>
      <c r="Q12" s="82">
        <v>814</v>
      </c>
      <c r="R12" s="19">
        <f t="shared" si="1"/>
        <v>6517</v>
      </c>
      <c r="S12" s="20">
        <f t="shared" si="2"/>
        <v>186.2</v>
      </c>
      <c r="T12" s="20">
        <f t="shared" si="2"/>
        <v>166.62857142857143</v>
      </c>
      <c r="U12" s="119">
        <f t="shared" si="0"/>
        <v>18.697142857142854</v>
      </c>
    </row>
    <row r="13" spans="1:21" s="21" customFormat="1" ht="15.75" customHeight="1">
      <c r="A13" s="19">
        <f t="shared" si="3"/>
        <v>10</v>
      </c>
      <c r="B13" s="19" t="s">
        <v>114</v>
      </c>
      <c r="C13" s="19" t="s">
        <v>131</v>
      </c>
      <c r="D13" s="19">
        <v>806</v>
      </c>
      <c r="E13" s="82">
        <v>666</v>
      </c>
      <c r="F13" s="19">
        <v>1103</v>
      </c>
      <c r="G13" s="19">
        <v>878</v>
      </c>
      <c r="H13" s="19">
        <v>876</v>
      </c>
      <c r="I13" s="82">
        <v>736</v>
      </c>
      <c r="J13" s="19">
        <v>907</v>
      </c>
      <c r="K13" s="82">
        <v>757</v>
      </c>
      <c r="L13" s="82">
        <v>958</v>
      </c>
      <c r="M13" s="19">
        <v>803</v>
      </c>
      <c r="N13" s="82">
        <v>965</v>
      </c>
      <c r="O13" s="19">
        <v>820</v>
      </c>
      <c r="P13" s="19">
        <v>890</v>
      </c>
      <c r="Q13" s="82">
        <v>750</v>
      </c>
      <c r="R13" s="19">
        <f t="shared" si="1"/>
        <v>6505</v>
      </c>
      <c r="S13" s="20">
        <f t="shared" si="2"/>
        <v>185.85714285714286</v>
      </c>
      <c r="T13" s="20">
        <f t="shared" si="2"/>
        <v>154.57142857142858</v>
      </c>
      <c r="U13" s="119">
        <f t="shared" si="0"/>
        <v>28.342857142857135</v>
      </c>
    </row>
    <row r="14" spans="1:21" s="21" customFormat="1" ht="15.75" customHeight="1">
      <c r="A14" s="19">
        <f t="shared" si="3"/>
        <v>11</v>
      </c>
      <c r="B14" s="19" t="s">
        <v>92</v>
      </c>
      <c r="C14" s="19" t="s">
        <v>100</v>
      </c>
      <c r="D14" s="19">
        <v>910</v>
      </c>
      <c r="E14" s="82">
        <v>610</v>
      </c>
      <c r="F14" s="19">
        <v>851</v>
      </c>
      <c r="G14" s="82">
        <v>581</v>
      </c>
      <c r="H14" s="19">
        <v>852</v>
      </c>
      <c r="I14" s="82">
        <v>567</v>
      </c>
      <c r="J14" s="19">
        <v>930</v>
      </c>
      <c r="K14" s="82">
        <v>640</v>
      </c>
      <c r="L14" s="82">
        <v>1043</v>
      </c>
      <c r="M14" s="82">
        <v>763</v>
      </c>
      <c r="N14" s="82">
        <v>965</v>
      </c>
      <c r="O14" s="82">
        <v>710</v>
      </c>
      <c r="P14" s="82">
        <v>954</v>
      </c>
      <c r="Q14" s="82">
        <v>709</v>
      </c>
      <c r="R14" s="19">
        <f t="shared" si="1"/>
        <v>6505</v>
      </c>
      <c r="S14" s="20">
        <f t="shared" si="2"/>
        <v>185.85714285714286</v>
      </c>
      <c r="T14" s="20">
        <f t="shared" si="2"/>
        <v>130.85714285714286</v>
      </c>
      <c r="U14" s="119">
        <f>(190-T14)*0.8</f>
        <v>47.31428571428572</v>
      </c>
    </row>
    <row r="15" spans="1:21" s="21" customFormat="1" ht="15.75" customHeight="1">
      <c r="A15" s="19">
        <f t="shared" si="3"/>
        <v>12</v>
      </c>
      <c r="B15" s="19" t="s">
        <v>212</v>
      </c>
      <c r="C15" s="19" t="s">
        <v>227</v>
      </c>
      <c r="D15" s="19">
        <v>1059</v>
      </c>
      <c r="E15" s="19">
        <v>879</v>
      </c>
      <c r="F15" s="19">
        <v>814</v>
      </c>
      <c r="G15" s="82">
        <v>759</v>
      </c>
      <c r="H15" s="19">
        <v>982</v>
      </c>
      <c r="I15" s="19">
        <v>877</v>
      </c>
      <c r="J15" s="19">
        <v>867</v>
      </c>
      <c r="K15" s="82">
        <v>777</v>
      </c>
      <c r="L15" s="82">
        <v>978</v>
      </c>
      <c r="M15" s="19">
        <v>878</v>
      </c>
      <c r="N15" s="19">
        <v>861</v>
      </c>
      <c r="O15" s="82">
        <v>766</v>
      </c>
      <c r="P15" s="82">
        <v>935</v>
      </c>
      <c r="Q15" s="82">
        <v>835</v>
      </c>
      <c r="R15" s="19">
        <f t="shared" si="1"/>
        <v>6496</v>
      </c>
      <c r="S15" s="20">
        <f t="shared" si="2"/>
        <v>185.6</v>
      </c>
      <c r="T15" s="20">
        <f t="shared" si="2"/>
        <v>164.8857142857143</v>
      </c>
      <c r="U15" s="119">
        <f t="shared" si="0"/>
        <v>20.091428571428562</v>
      </c>
    </row>
    <row r="16" spans="1:21" s="21" customFormat="1" ht="15.75" customHeight="1">
      <c r="A16" s="19">
        <f t="shared" si="3"/>
        <v>13</v>
      </c>
      <c r="B16" s="19" t="s">
        <v>86</v>
      </c>
      <c r="C16" s="19" t="s">
        <v>101</v>
      </c>
      <c r="D16" s="19">
        <v>884</v>
      </c>
      <c r="E16" s="82">
        <v>759</v>
      </c>
      <c r="F16" s="19">
        <v>1008</v>
      </c>
      <c r="G16" s="19">
        <v>853</v>
      </c>
      <c r="H16" s="19">
        <v>848</v>
      </c>
      <c r="I16" s="82">
        <v>733</v>
      </c>
      <c r="J16" s="19">
        <v>951</v>
      </c>
      <c r="K16" s="19">
        <v>816</v>
      </c>
      <c r="L16" s="82">
        <v>912</v>
      </c>
      <c r="M16" s="82">
        <v>782</v>
      </c>
      <c r="N16" s="82"/>
      <c r="O16" s="82"/>
      <c r="P16" s="82">
        <v>960</v>
      </c>
      <c r="Q16" s="82">
        <v>830</v>
      </c>
      <c r="R16" s="19">
        <f t="shared" si="1"/>
        <v>5563</v>
      </c>
      <c r="S16" s="20">
        <f t="shared" si="2"/>
        <v>185.43333333333334</v>
      </c>
      <c r="T16" s="20">
        <f t="shared" si="2"/>
        <v>159.1</v>
      </c>
      <c r="U16" s="119">
        <f t="shared" si="0"/>
        <v>24.720000000000006</v>
      </c>
    </row>
    <row r="17" spans="1:21" s="21" customFormat="1" ht="15.75" customHeight="1">
      <c r="A17" s="19">
        <f t="shared" si="3"/>
        <v>14</v>
      </c>
      <c r="B17" s="19" t="s">
        <v>289</v>
      </c>
      <c r="C17" s="19" t="s">
        <v>132</v>
      </c>
      <c r="D17" s="19"/>
      <c r="E17" s="82"/>
      <c r="F17" s="19">
        <v>853</v>
      </c>
      <c r="G17" s="82">
        <v>788</v>
      </c>
      <c r="H17" s="19">
        <v>946</v>
      </c>
      <c r="I17" s="19">
        <v>816</v>
      </c>
      <c r="J17" s="19">
        <v>930</v>
      </c>
      <c r="K17" s="19">
        <v>810</v>
      </c>
      <c r="L17" s="82">
        <v>952</v>
      </c>
      <c r="M17" s="19">
        <v>837</v>
      </c>
      <c r="N17" s="82">
        <v>989</v>
      </c>
      <c r="O17" s="19">
        <v>879</v>
      </c>
      <c r="P17" s="19">
        <v>892</v>
      </c>
      <c r="Q17" s="82">
        <v>792</v>
      </c>
      <c r="R17" s="19">
        <f t="shared" si="1"/>
        <v>5562</v>
      </c>
      <c r="S17" s="20">
        <f t="shared" si="2"/>
        <v>185.4</v>
      </c>
      <c r="T17" s="20">
        <f t="shared" si="2"/>
        <v>164.06666666666666</v>
      </c>
      <c r="U17" s="119">
        <f t="shared" si="0"/>
        <v>20.74666666666667</v>
      </c>
    </row>
    <row r="18" spans="1:21" s="21" customFormat="1" ht="15.75" customHeight="1">
      <c r="A18" s="19">
        <f t="shared" si="3"/>
        <v>15</v>
      </c>
      <c r="B18" s="19" t="s">
        <v>147</v>
      </c>
      <c r="C18" s="19" t="s">
        <v>159</v>
      </c>
      <c r="D18" s="19">
        <v>958</v>
      </c>
      <c r="E18" s="82">
        <v>743</v>
      </c>
      <c r="F18" s="19">
        <v>966</v>
      </c>
      <c r="G18" s="19">
        <v>801</v>
      </c>
      <c r="H18" s="19">
        <v>908</v>
      </c>
      <c r="I18" s="82">
        <v>768</v>
      </c>
      <c r="J18" s="19">
        <v>856</v>
      </c>
      <c r="K18" s="82">
        <v>711</v>
      </c>
      <c r="L18" s="82">
        <v>953</v>
      </c>
      <c r="M18" s="82">
        <v>798</v>
      </c>
      <c r="N18" s="82">
        <v>910</v>
      </c>
      <c r="O18" s="82">
        <v>760</v>
      </c>
      <c r="P18" s="82"/>
      <c r="Q18" s="82"/>
      <c r="R18" s="19">
        <f t="shared" si="1"/>
        <v>5551</v>
      </c>
      <c r="S18" s="20">
        <f t="shared" si="2"/>
        <v>185.03333333333333</v>
      </c>
      <c r="T18" s="20">
        <f t="shared" si="2"/>
        <v>152.7</v>
      </c>
      <c r="U18" s="119">
        <f t="shared" si="0"/>
        <v>29.84000000000001</v>
      </c>
    </row>
    <row r="19" spans="1:21" s="21" customFormat="1" ht="15.75" customHeight="1">
      <c r="A19" s="19">
        <f t="shared" si="3"/>
        <v>16</v>
      </c>
      <c r="B19" s="19" t="s">
        <v>141</v>
      </c>
      <c r="C19" s="19" t="s">
        <v>165</v>
      </c>
      <c r="D19" s="19">
        <v>1100</v>
      </c>
      <c r="E19" s="19">
        <v>800</v>
      </c>
      <c r="F19" s="19">
        <v>843</v>
      </c>
      <c r="G19" s="82">
        <v>663</v>
      </c>
      <c r="H19" s="19">
        <v>836</v>
      </c>
      <c r="I19" s="82">
        <v>661</v>
      </c>
      <c r="J19" s="19">
        <v>906</v>
      </c>
      <c r="K19" s="82">
        <v>711</v>
      </c>
      <c r="L19" s="19">
        <v>880</v>
      </c>
      <c r="M19" s="82">
        <v>569</v>
      </c>
      <c r="N19" s="82">
        <v>958</v>
      </c>
      <c r="O19" s="82">
        <v>658</v>
      </c>
      <c r="P19" s="82">
        <v>953</v>
      </c>
      <c r="Q19" s="82">
        <v>733</v>
      </c>
      <c r="R19" s="19">
        <f t="shared" si="1"/>
        <v>6476</v>
      </c>
      <c r="S19" s="20">
        <f t="shared" si="2"/>
        <v>185.0285714285714</v>
      </c>
      <c r="T19" s="20">
        <f t="shared" si="2"/>
        <v>137</v>
      </c>
      <c r="U19" s="119">
        <f>(190-T19)*0.8</f>
        <v>42.400000000000006</v>
      </c>
    </row>
    <row r="20" spans="1:21" s="21" customFormat="1" ht="15.75" customHeight="1">
      <c r="A20" s="19">
        <f t="shared" si="3"/>
        <v>17</v>
      </c>
      <c r="B20" s="19" t="s">
        <v>83</v>
      </c>
      <c r="C20" s="19" t="s">
        <v>74</v>
      </c>
      <c r="D20" s="19">
        <v>904</v>
      </c>
      <c r="E20" s="82">
        <v>639</v>
      </c>
      <c r="F20" s="19">
        <v>968</v>
      </c>
      <c r="G20" s="82">
        <v>718</v>
      </c>
      <c r="H20" s="19">
        <v>912</v>
      </c>
      <c r="I20" s="82">
        <v>697</v>
      </c>
      <c r="J20" s="19">
        <v>905</v>
      </c>
      <c r="K20" s="82">
        <v>695</v>
      </c>
      <c r="L20" s="82">
        <v>1006</v>
      </c>
      <c r="M20" s="82">
        <v>796</v>
      </c>
      <c r="N20" s="19">
        <v>848</v>
      </c>
      <c r="O20" s="82">
        <v>653</v>
      </c>
      <c r="P20" s="82"/>
      <c r="Q20" s="82"/>
      <c r="R20" s="19">
        <f t="shared" si="1"/>
        <v>5543</v>
      </c>
      <c r="S20" s="20">
        <f t="shared" si="2"/>
        <v>184.76666666666668</v>
      </c>
      <c r="T20" s="20">
        <f t="shared" si="2"/>
        <v>139.93333333333334</v>
      </c>
      <c r="U20" s="119">
        <f t="shared" si="0"/>
        <v>40.053333333333335</v>
      </c>
    </row>
    <row r="21" spans="1:21" s="21" customFormat="1" ht="15.75" customHeight="1">
      <c r="A21" s="19">
        <f t="shared" si="3"/>
        <v>18</v>
      </c>
      <c r="B21" s="19" t="s">
        <v>203</v>
      </c>
      <c r="C21" s="19" t="s">
        <v>222</v>
      </c>
      <c r="D21" s="19">
        <v>842</v>
      </c>
      <c r="E21" s="82">
        <v>747</v>
      </c>
      <c r="F21" s="19">
        <v>968</v>
      </c>
      <c r="G21" s="19">
        <v>808</v>
      </c>
      <c r="H21" s="19">
        <v>966</v>
      </c>
      <c r="I21" s="19">
        <v>826</v>
      </c>
      <c r="J21" s="19">
        <v>960</v>
      </c>
      <c r="K21" s="19">
        <v>835</v>
      </c>
      <c r="L21" s="82">
        <v>916</v>
      </c>
      <c r="M21" s="19">
        <v>801</v>
      </c>
      <c r="N21" s="82">
        <v>816</v>
      </c>
      <c r="O21" s="82">
        <v>701</v>
      </c>
      <c r="P21" s="82">
        <v>995</v>
      </c>
      <c r="Q21" s="82">
        <v>865</v>
      </c>
      <c r="R21" s="19">
        <f t="shared" si="1"/>
        <v>6463</v>
      </c>
      <c r="S21" s="20">
        <f t="shared" si="2"/>
        <v>184.65714285714287</v>
      </c>
      <c r="T21" s="20">
        <f t="shared" si="2"/>
        <v>159.5142857142857</v>
      </c>
      <c r="U21" s="119">
        <f>(190-T21)*0.8</f>
        <v>24.38857142857144</v>
      </c>
    </row>
    <row r="22" spans="1:21" s="21" customFormat="1" ht="15.75" customHeight="1">
      <c r="A22" s="19">
        <f t="shared" si="3"/>
        <v>19</v>
      </c>
      <c r="B22" s="19" t="s">
        <v>122</v>
      </c>
      <c r="C22" s="19" t="s">
        <v>130</v>
      </c>
      <c r="D22" s="19">
        <v>952</v>
      </c>
      <c r="E22" s="82">
        <v>652</v>
      </c>
      <c r="F22" s="19">
        <v>863</v>
      </c>
      <c r="G22" s="82">
        <v>623</v>
      </c>
      <c r="H22" s="19">
        <v>931</v>
      </c>
      <c r="I22" s="82">
        <v>681</v>
      </c>
      <c r="J22" s="19">
        <v>934</v>
      </c>
      <c r="K22" s="82">
        <v>694</v>
      </c>
      <c r="L22" s="19">
        <v>885</v>
      </c>
      <c r="M22" s="82">
        <v>655</v>
      </c>
      <c r="N22" s="82">
        <v>936</v>
      </c>
      <c r="O22" s="82">
        <v>706</v>
      </c>
      <c r="P22" s="82">
        <v>962</v>
      </c>
      <c r="Q22" s="82">
        <v>737</v>
      </c>
      <c r="R22" s="19">
        <f t="shared" si="1"/>
        <v>6463</v>
      </c>
      <c r="S22" s="20">
        <f t="shared" si="2"/>
        <v>184.65714285714287</v>
      </c>
      <c r="T22" s="20">
        <f t="shared" si="2"/>
        <v>135.65714285714287</v>
      </c>
      <c r="U22" s="119">
        <f t="shared" si="0"/>
        <v>43.474285714285706</v>
      </c>
    </row>
    <row r="23" spans="1:21" s="21" customFormat="1" ht="15.75" customHeight="1">
      <c r="A23" s="19">
        <f t="shared" si="3"/>
        <v>20</v>
      </c>
      <c r="B23" s="19" t="s">
        <v>288</v>
      </c>
      <c r="C23" s="19" t="s">
        <v>66</v>
      </c>
      <c r="D23" s="19">
        <v>826</v>
      </c>
      <c r="E23" s="82">
        <v>691</v>
      </c>
      <c r="F23" s="19">
        <v>1170</v>
      </c>
      <c r="G23" s="82">
        <v>965</v>
      </c>
      <c r="H23" s="19">
        <v>943</v>
      </c>
      <c r="I23" s="19">
        <v>843</v>
      </c>
      <c r="J23" s="19">
        <v>865</v>
      </c>
      <c r="K23" s="82">
        <v>770</v>
      </c>
      <c r="L23" s="82">
        <v>933</v>
      </c>
      <c r="M23" s="19">
        <v>828</v>
      </c>
      <c r="N23" s="82">
        <v>801</v>
      </c>
      <c r="O23" s="82">
        <v>696</v>
      </c>
      <c r="P23" s="82">
        <v>919</v>
      </c>
      <c r="Q23" s="82">
        <v>799</v>
      </c>
      <c r="R23" s="19">
        <f t="shared" si="1"/>
        <v>6457</v>
      </c>
      <c r="S23" s="20">
        <f t="shared" si="2"/>
        <v>184.4857142857143</v>
      </c>
      <c r="T23" s="20">
        <f t="shared" si="2"/>
        <v>159.77142857142857</v>
      </c>
      <c r="U23" s="119">
        <f>(190-T23)*0.8</f>
        <v>24.182857142857145</v>
      </c>
    </row>
    <row r="24" spans="1:21" s="21" customFormat="1" ht="15.75" customHeight="1">
      <c r="A24" s="19">
        <f t="shared" si="3"/>
        <v>21</v>
      </c>
      <c r="B24" s="19" t="s">
        <v>234</v>
      </c>
      <c r="C24" s="19" t="s">
        <v>233</v>
      </c>
      <c r="D24" s="19">
        <v>915</v>
      </c>
      <c r="E24" s="82">
        <v>765</v>
      </c>
      <c r="F24" s="19"/>
      <c r="G24" s="82"/>
      <c r="H24" s="19">
        <v>954</v>
      </c>
      <c r="I24" s="19">
        <v>804</v>
      </c>
      <c r="J24" s="19"/>
      <c r="K24" s="82"/>
      <c r="L24" s="82">
        <v>904</v>
      </c>
      <c r="M24" s="82">
        <v>774</v>
      </c>
      <c r="N24" s="82">
        <v>925</v>
      </c>
      <c r="O24" s="82">
        <v>790</v>
      </c>
      <c r="P24" s="82">
        <v>914</v>
      </c>
      <c r="Q24" s="82">
        <v>779</v>
      </c>
      <c r="R24" s="19">
        <f t="shared" si="1"/>
        <v>4612</v>
      </c>
      <c r="S24" s="20">
        <f t="shared" si="2"/>
        <v>184.48</v>
      </c>
      <c r="T24" s="20">
        <f t="shared" si="2"/>
        <v>156.48</v>
      </c>
      <c r="U24" s="119">
        <f t="shared" si="0"/>
        <v>26.81600000000001</v>
      </c>
    </row>
    <row r="25" spans="1:21" s="21" customFormat="1" ht="15.75" customHeight="1">
      <c r="A25" s="19">
        <f t="shared" si="3"/>
        <v>22</v>
      </c>
      <c r="B25" s="19" t="s">
        <v>143</v>
      </c>
      <c r="C25" s="19" t="s">
        <v>165</v>
      </c>
      <c r="D25" s="19">
        <v>989</v>
      </c>
      <c r="E25" s="82">
        <v>689</v>
      </c>
      <c r="F25" s="19">
        <v>939</v>
      </c>
      <c r="G25" s="82">
        <v>729</v>
      </c>
      <c r="H25" s="19">
        <v>962</v>
      </c>
      <c r="I25" s="82">
        <v>767</v>
      </c>
      <c r="J25" s="19">
        <v>1001</v>
      </c>
      <c r="K25" s="19">
        <v>826</v>
      </c>
      <c r="L25" s="82">
        <v>753</v>
      </c>
      <c r="M25" s="82">
        <v>593</v>
      </c>
      <c r="N25" s="82"/>
      <c r="O25" s="82"/>
      <c r="P25" s="19">
        <v>889</v>
      </c>
      <c r="Q25" s="82">
        <v>704</v>
      </c>
      <c r="R25" s="19">
        <f t="shared" si="1"/>
        <v>5533</v>
      </c>
      <c r="S25" s="20">
        <f t="shared" si="2"/>
        <v>184.43333333333334</v>
      </c>
      <c r="T25" s="20">
        <f t="shared" si="2"/>
        <v>143.6</v>
      </c>
      <c r="U25" s="119">
        <f t="shared" si="0"/>
        <v>37.120000000000005</v>
      </c>
    </row>
    <row r="26" spans="1:21" s="21" customFormat="1" ht="15.75" customHeight="1">
      <c r="A26" s="19">
        <f t="shared" si="3"/>
        <v>23</v>
      </c>
      <c r="B26" s="19" t="s">
        <v>278</v>
      </c>
      <c r="C26" s="19" t="s">
        <v>227</v>
      </c>
      <c r="D26" s="19"/>
      <c r="E26" s="82"/>
      <c r="F26" s="19">
        <v>900</v>
      </c>
      <c r="G26" s="82">
        <v>690</v>
      </c>
      <c r="H26" s="19">
        <v>960</v>
      </c>
      <c r="I26" s="82">
        <v>750</v>
      </c>
      <c r="J26" s="19">
        <v>822</v>
      </c>
      <c r="K26" s="82">
        <v>637</v>
      </c>
      <c r="L26" s="19">
        <v>897</v>
      </c>
      <c r="M26" s="82">
        <v>692</v>
      </c>
      <c r="N26" s="82">
        <v>1018</v>
      </c>
      <c r="O26" s="19">
        <v>813</v>
      </c>
      <c r="P26" s="19">
        <v>929</v>
      </c>
      <c r="Q26" s="82">
        <v>744</v>
      </c>
      <c r="R26" s="19">
        <f t="shared" si="1"/>
        <v>5526</v>
      </c>
      <c r="S26" s="20">
        <f t="shared" si="2"/>
        <v>184.2</v>
      </c>
      <c r="T26" s="20">
        <f t="shared" si="2"/>
        <v>144.2</v>
      </c>
      <c r="U26" s="119">
        <f t="shared" si="0"/>
        <v>36.64000000000001</v>
      </c>
    </row>
    <row r="27" spans="1:21" s="21" customFormat="1" ht="15.75" customHeight="1">
      <c r="A27" s="19">
        <f t="shared" si="3"/>
        <v>24</v>
      </c>
      <c r="B27" s="19" t="s">
        <v>129</v>
      </c>
      <c r="C27" s="19" t="s">
        <v>130</v>
      </c>
      <c r="D27" s="19">
        <v>937</v>
      </c>
      <c r="E27" s="82">
        <v>762</v>
      </c>
      <c r="F27" s="19">
        <v>882</v>
      </c>
      <c r="G27" s="82">
        <v>732</v>
      </c>
      <c r="H27" s="19">
        <v>894</v>
      </c>
      <c r="I27" s="82">
        <v>734</v>
      </c>
      <c r="J27" s="19">
        <v>910</v>
      </c>
      <c r="K27" s="82">
        <v>745</v>
      </c>
      <c r="L27" s="82">
        <v>985</v>
      </c>
      <c r="M27" s="19">
        <v>820</v>
      </c>
      <c r="N27" s="82">
        <v>920</v>
      </c>
      <c r="O27" s="82">
        <v>765</v>
      </c>
      <c r="P27" s="82">
        <v>917</v>
      </c>
      <c r="Q27" s="82">
        <v>767</v>
      </c>
      <c r="R27" s="19">
        <f t="shared" si="1"/>
        <v>6445</v>
      </c>
      <c r="S27" s="20">
        <f t="shared" si="2"/>
        <v>184.14285714285714</v>
      </c>
      <c r="T27" s="20">
        <f t="shared" si="2"/>
        <v>152.14285714285714</v>
      </c>
      <c r="U27" s="119">
        <f t="shared" si="0"/>
        <v>30.285714285714292</v>
      </c>
    </row>
    <row r="28" spans="1:21" s="21" customFormat="1" ht="15.75" customHeight="1">
      <c r="A28" s="19">
        <f t="shared" si="3"/>
        <v>25</v>
      </c>
      <c r="B28" s="19" t="s">
        <v>218</v>
      </c>
      <c r="C28" s="19" t="s">
        <v>224</v>
      </c>
      <c r="D28" s="19">
        <v>974</v>
      </c>
      <c r="E28" s="19">
        <v>889</v>
      </c>
      <c r="F28" s="19">
        <v>913</v>
      </c>
      <c r="G28" s="19">
        <v>863</v>
      </c>
      <c r="H28" s="19">
        <v>920</v>
      </c>
      <c r="I28" s="19">
        <v>860</v>
      </c>
      <c r="J28" s="19"/>
      <c r="K28" s="82"/>
      <c r="L28" s="82">
        <v>915</v>
      </c>
      <c r="M28" s="19">
        <v>850</v>
      </c>
      <c r="N28" s="19">
        <v>881</v>
      </c>
      <c r="O28" s="19">
        <v>811</v>
      </c>
      <c r="P28" s="19"/>
      <c r="Q28" s="82"/>
      <c r="R28" s="19">
        <f t="shared" si="1"/>
        <v>4603</v>
      </c>
      <c r="S28" s="20">
        <f t="shared" si="2"/>
        <v>184.12</v>
      </c>
      <c r="T28" s="20">
        <f t="shared" si="2"/>
        <v>170.92000000000002</v>
      </c>
      <c r="U28" s="119">
        <f t="shared" si="0"/>
        <v>15.263999999999989</v>
      </c>
    </row>
    <row r="29" spans="1:21" s="21" customFormat="1" ht="15.75" customHeight="1">
      <c r="A29" s="19">
        <f t="shared" si="3"/>
        <v>26</v>
      </c>
      <c r="B29" s="19" t="s">
        <v>207</v>
      </c>
      <c r="C29" s="19" t="s">
        <v>226</v>
      </c>
      <c r="D29" s="19">
        <v>973</v>
      </c>
      <c r="E29" s="19">
        <v>818</v>
      </c>
      <c r="F29" s="19">
        <v>958</v>
      </c>
      <c r="G29" s="19">
        <v>853</v>
      </c>
      <c r="H29" s="19">
        <v>914</v>
      </c>
      <c r="I29" s="82">
        <v>774</v>
      </c>
      <c r="J29" s="19">
        <v>876</v>
      </c>
      <c r="K29" s="82">
        <v>766</v>
      </c>
      <c r="L29" s="82">
        <v>923</v>
      </c>
      <c r="M29" s="19">
        <v>803</v>
      </c>
      <c r="N29" s="19">
        <v>867</v>
      </c>
      <c r="O29" s="82">
        <v>747</v>
      </c>
      <c r="P29" s="82"/>
      <c r="Q29" s="82"/>
      <c r="R29" s="19">
        <f t="shared" si="1"/>
        <v>5511</v>
      </c>
      <c r="S29" s="20">
        <f t="shared" si="2"/>
        <v>183.7</v>
      </c>
      <c r="T29" s="20">
        <f t="shared" si="2"/>
        <v>158.7</v>
      </c>
      <c r="U29" s="119">
        <f t="shared" si="0"/>
        <v>25.04000000000001</v>
      </c>
    </row>
    <row r="30" spans="1:21" s="21" customFormat="1" ht="15.75" customHeight="1">
      <c r="A30" s="19">
        <f t="shared" si="3"/>
        <v>27</v>
      </c>
      <c r="B30" s="19" t="s">
        <v>185</v>
      </c>
      <c r="C30" s="19" t="s">
        <v>193</v>
      </c>
      <c r="D30" s="19">
        <v>928</v>
      </c>
      <c r="E30" s="19">
        <v>848</v>
      </c>
      <c r="F30" s="19">
        <v>886</v>
      </c>
      <c r="G30" s="19">
        <v>806</v>
      </c>
      <c r="H30" s="19">
        <v>973</v>
      </c>
      <c r="I30" s="19">
        <v>873</v>
      </c>
      <c r="J30" s="19"/>
      <c r="K30" s="82"/>
      <c r="L30" s="82">
        <v>911</v>
      </c>
      <c r="M30" s="19">
        <v>826</v>
      </c>
      <c r="N30" s="82">
        <v>914</v>
      </c>
      <c r="O30" s="19">
        <v>824</v>
      </c>
      <c r="P30" s="19">
        <v>894</v>
      </c>
      <c r="Q30" s="82">
        <v>804</v>
      </c>
      <c r="R30" s="19">
        <f t="shared" si="1"/>
        <v>5506</v>
      </c>
      <c r="S30" s="20">
        <f t="shared" si="2"/>
        <v>183.53333333333333</v>
      </c>
      <c r="T30" s="20">
        <f t="shared" si="2"/>
        <v>166.03333333333333</v>
      </c>
      <c r="U30" s="119">
        <f t="shared" si="0"/>
        <v>19.173333333333336</v>
      </c>
    </row>
    <row r="31" spans="1:21" s="21" customFormat="1" ht="15.75" customHeight="1">
      <c r="A31" s="19">
        <f t="shared" si="3"/>
        <v>28</v>
      </c>
      <c r="B31" s="19" t="s">
        <v>250</v>
      </c>
      <c r="C31" s="19" t="s">
        <v>249</v>
      </c>
      <c r="D31" s="19">
        <v>869</v>
      </c>
      <c r="E31" s="82">
        <v>689</v>
      </c>
      <c r="F31" s="19">
        <v>913</v>
      </c>
      <c r="G31" s="82">
        <v>703</v>
      </c>
      <c r="H31" s="19">
        <v>938</v>
      </c>
      <c r="I31" s="82">
        <v>733</v>
      </c>
      <c r="J31" s="19">
        <v>911</v>
      </c>
      <c r="K31" s="82">
        <v>716</v>
      </c>
      <c r="L31" s="82">
        <v>959</v>
      </c>
      <c r="M31" s="82">
        <v>769</v>
      </c>
      <c r="N31" s="82">
        <v>948</v>
      </c>
      <c r="O31" s="82">
        <v>768</v>
      </c>
      <c r="P31" s="19">
        <v>877</v>
      </c>
      <c r="Q31" s="82">
        <v>702</v>
      </c>
      <c r="R31" s="19">
        <f t="shared" si="1"/>
        <v>6415</v>
      </c>
      <c r="S31" s="20">
        <f t="shared" si="2"/>
        <v>183.28571428571428</v>
      </c>
      <c r="T31" s="20">
        <f t="shared" si="2"/>
        <v>145.14285714285714</v>
      </c>
      <c r="U31" s="119">
        <f>(190-T31)*0.8</f>
        <v>35.88571428571429</v>
      </c>
    </row>
    <row r="32" spans="1:21" s="21" customFormat="1" ht="15.75" customHeight="1">
      <c r="A32" s="19">
        <f t="shared" si="3"/>
        <v>29</v>
      </c>
      <c r="B32" s="19" t="s">
        <v>235</v>
      </c>
      <c r="C32" s="19" t="s">
        <v>233</v>
      </c>
      <c r="D32" s="19">
        <v>1011</v>
      </c>
      <c r="E32" s="82">
        <v>711</v>
      </c>
      <c r="F32" s="19">
        <v>873</v>
      </c>
      <c r="G32" s="82">
        <v>683</v>
      </c>
      <c r="H32" s="82">
        <v>772</v>
      </c>
      <c r="I32" s="82">
        <v>572</v>
      </c>
      <c r="J32" s="19">
        <v>1015</v>
      </c>
      <c r="K32" s="82">
        <v>780</v>
      </c>
      <c r="L32" s="19">
        <v>896</v>
      </c>
      <c r="M32" s="82">
        <v>686</v>
      </c>
      <c r="N32" s="82">
        <v>928</v>
      </c>
      <c r="O32" s="82">
        <v>718</v>
      </c>
      <c r="P32" s="82"/>
      <c r="Q32" s="82"/>
      <c r="R32" s="19">
        <f t="shared" si="1"/>
        <v>5495</v>
      </c>
      <c r="S32" s="20">
        <f t="shared" si="2"/>
        <v>183.16666666666669</v>
      </c>
      <c r="T32" s="20">
        <f t="shared" si="2"/>
        <v>138.33333333333331</v>
      </c>
      <c r="U32" s="119">
        <f>(190-T32)*0.8</f>
        <v>41.33333333333335</v>
      </c>
    </row>
    <row r="33" spans="1:21" s="21" customFormat="1" ht="15.75" customHeight="1">
      <c r="A33" s="19">
        <f t="shared" si="3"/>
        <v>30</v>
      </c>
      <c r="B33" s="19" t="s">
        <v>215</v>
      </c>
      <c r="C33" s="19" t="s">
        <v>225</v>
      </c>
      <c r="D33" s="19">
        <v>934</v>
      </c>
      <c r="E33" s="19">
        <v>899</v>
      </c>
      <c r="F33" s="19">
        <v>982</v>
      </c>
      <c r="G33" s="82">
        <v>942</v>
      </c>
      <c r="H33" s="19">
        <v>872</v>
      </c>
      <c r="I33" s="19">
        <v>847</v>
      </c>
      <c r="J33" s="19">
        <v>883</v>
      </c>
      <c r="K33" s="19">
        <v>838</v>
      </c>
      <c r="L33" s="19">
        <v>888</v>
      </c>
      <c r="M33" s="19">
        <v>833</v>
      </c>
      <c r="N33" s="82">
        <v>952</v>
      </c>
      <c r="O33" s="19">
        <v>887</v>
      </c>
      <c r="P33" s="19">
        <v>894</v>
      </c>
      <c r="Q33" s="82">
        <v>834</v>
      </c>
      <c r="R33" s="19">
        <f t="shared" si="1"/>
        <v>6405</v>
      </c>
      <c r="S33" s="20">
        <f t="shared" si="2"/>
        <v>183</v>
      </c>
      <c r="T33" s="20">
        <f t="shared" si="2"/>
        <v>173.71428571428572</v>
      </c>
      <c r="U33" s="119">
        <f t="shared" si="0"/>
        <v>13.028571428571423</v>
      </c>
    </row>
    <row r="34" spans="1:21" s="21" customFormat="1" ht="15.75" customHeight="1">
      <c r="A34" s="19">
        <f t="shared" si="3"/>
        <v>31</v>
      </c>
      <c r="B34" s="19" t="s">
        <v>279</v>
      </c>
      <c r="C34" s="19" t="s">
        <v>173</v>
      </c>
      <c r="D34" s="19"/>
      <c r="E34" s="82"/>
      <c r="F34" s="19">
        <v>950</v>
      </c>
      <c r="G34" s="19">
        <v>810</v>
      </c>
      <c r="H34" s="19">
        <v>901</v>
      </c>
      <c r="I34" s="82">
        <v>791</v>
      </c>
      <c r="J34" s="19">
        <v>823</v>
      </c>
      <c r="K34" s="82">
        <v>703</v>
      </c>
      <c r="L34" s="82">
        <v>983</v>
      </c>
      <c r="M34" s="19">
        <v>838</v>
      </c>
      <c r="N34" s="82">
        <v>918</v>
      </c>
      <c r="O34" s="82">
        <v>788</v>
      </c>
      <c r="P34" s="82"/>
      <c r="Q34" s="82"/>
      <c r="R34" s="19">
        <f t="shared" si="1"/>
        <v>4575</v>
      </c>
      <c r="S34" s="20">
        <f t="shared" si="2"/>
        <v>183</v>
      </c>
      <c r="T34" s="20">
        <f t="shared" si="2"/>
        <v>157.2</v>
      </c>
      <c r="U34" s="119">
        <f>(190-T34)*0.8</f>
        <v>26.24000000000001</v>
      </c>
    </row>
    <row r="35" spans="1:21" s="21" customFormat="1" ht="15.75" customHeight="1">
      <c r="A35" s="19">
        <f t="shared" si="3"/>
        <v>32</v>
      </c>
      <c r="B35" s="19" t="s">
        <v>89</v>
      </c>
      <c r="C35" s="19" t="s">
        <v>103</v>
      </c>
      <c r="D35" s="19">
        <v>1022</v>
      </c>
      <c r="E35" s="19">
        <v>892</v>
      </c>
      <c r="F35" s="19">
        <v>861</v>
      </c>
      <c r="G35" s="19">
        <v>816</v>
      </c>
      <c r="H35" s="19">
        <v>930</v>
      </c>
      <c r="I35" s="82">
        <v>855</v>
      </c>
      <c r="J35" s="19">
        <v>876</v>
      </c>
      <c r="K35" s="19">
        <v>801</v>
      </c>
      <c r="L35" s="82">
        <v>949</v>
      </c>
      <c r="M35" s="19">
        <v>864</v>
      </c>
      <c r="N35" s="82">
        <v>905</v>
      </c>
      <c r="O35" s="19">
        <v>820</v>
      </c>
      <c r="P35" s="19">
        <v>844</v>
      </c>
      <c r="Q35" s="82">
        <v>759</v>
      </c>
      <c r="R35" s="19">
        <f t="shared" si="1"/>
        <v>6387</v>
      </c>
      <c r="S35" s="20">
        <f t="shared" si="2"/>
        <v>182.4857142857143</v>
      </c>
      <c r="T35" s="20">
        <f t="shared" si="2"/>
        <v>165.9142857142857</v>
      </c>
      <c r="U35" s="119">
        <f t="shared" si="0"/>
        <v>19.268571428571434</v>
      </c>
    </row>
    <row r="36" spans="1:21" s="21" customFormat="1" ht="15.75" customHeight="1">
      <c r="A36" s="19">
        <f t="shared" si="3"/>
        <v>33</v>
      </c>
      <c r="B36" s="19" t="s">
        <v>84</v>
      </c>
      <c r="C36" s="19" t="s">
        <v>101</v>
      </c>
      <c r="D36" s="19">
        <v>923</v>
      </c>
      <c r="E36" s="82">
        <v>768</v>
      </c>
      <c r="F36" s="19">
        <v>849</v>
      </c>
      <c r="G36" s="82">
        <v>704</v>
      </c>
      <c r="H36" s="19"/>
      <c r="I36" s="82"/>
      <c r="J36" s="19">
        <v>986</v>
      </c>
      <c r="K36" s="19">
        <v>816</v>
      </c>
      <c r="L36" s="19">
        <v>888</v>
      </c>
      <c r="M36" s="82">
        <v>738</v>
      </c>
      <c r="N36" s="82"/>
      <c r="O36" s="82"/>
      <c r="P36" s="82"/>
      <c r="Q36" s="82"/>
      <c r="R36" s="19">
        <f t="shared" si="1"/>
        <v>3646</v>
      </c>
      <c r="S36" s="20">
        <f t="shared" si="2"/>
        <v>182.3</v>
      </c>
      <c r="T36" s="20">
        <f t="shared" si="2"/>
        <v>151.3</v>
      </c>
      <c r="U36" s="119">
        <f>(190-T36)*0.8</f>
        <v>30.959999999999994</v>
      </c>
    </row>
    <row r="37" spans="1:21" s="21" customFormat="1" ht="15.75" customHeight="1">
      <c r="A37" s="19">
        <f t="shared" si="3"/>
        <v>34</v>
      </c>
      <c r="B37" s="19" t="s">
        <v>209</v>
      </c>
      <c r="C37" s="19" t="s">
        <v>223</v>
      </c>
      <c r="D37" s="19">
        <v>1039</v>
      </c>
      <c r="E37" s="82">
        <v>739</v>
      </c>
      <c r="F37" s="19">
        <v>804</v>
      </c>
      <c r="G37" s="82">
        <v>634</v>
      </c>
      <c r="H37" s="19">
        <v>927</v>
      </c>
      <c r="I37" s="82">
        <v>717</v>
      </c>
      <c r="J37" s="19">
        <v>964</v>
      </c>
      <c r="K37" s="82">
        <v>759</v>
      </c>
      <c r="L37" s="19">
        <v>823</v>
      </c>
      <c r="M37" s="82">
        <v>633</v>
      </c>
      <c r="N37" s="82"/>
      <c r="O37" s="82"/>
      <c r="P37" s="82"/>
      <c r="Q37" s="82"/>
      <c r="R37" s="19">
        <f t="shared" si="1"/>
        <v>4557</v>
      </c>
      <c r="S37" s="20">
        <f t="shared" si="2"/>
        <v>182.28</v>
      </c>
      <c r="T37" s="20">
        <f t="shared" si="2"/>
        <v>139.28</v>
      </c>
      <c r="U37" s="119">
        <f t="shared" si="0"/>
        <v>40.576</v>
      </c>
    </row>
    <row r="38" spans="1:21" s="21" customFormat="1" ht="15.75" customHeight="1">
      <c r="A38" s="19">
        <f t="shared" si="3"/>
        <v>35</v>
      </c>
      <c r="B38" s="19" t="s">
        <v>27</v>
      </c>
      <c r="C38" s="19" t="s">
        <v>69</v>
      </c>
      <c r="D38" s="19">
        <v>928</v>
      </c>
      <c r="E38" s="19">
        <v>823</v>
      </c>
      <c r="F38" s="19">
        <v>1006</v>
      </c>
      <c r="G38" s="82">
        <v>906</v>
      </c>
      <c r="H38" s="19">
        <v>873</v>
      </c>
      <c r="I38" s="19">
        <v>803</v>
      </c>
      <c r="J38" s="19">
        <v>867</v>
      </c>
      <c r="K38" s="82">
        <v>782</v>
      </c>
      <c r="L38" s="19">
        <v>856</v>
      </c>
      <c r="M38" s="82">
        <v>761</v>
      </c>
      <c r="N38" s="82">
        <v>924</v>
      </c>
      <c r="O38" s="19">
        <v>814</v>
      </c>
      <c r="P38" s="19">
        <v>925</v>
      </c>
      <c r="Q38" s="82">
        <v>815</v>
      </c>
      <c r="R38" s="19">
        <f t="shared" si="1"/>
        <v>6379</v>
      </c>
      <c r="S38" s="20">
        <f t="shared" si="2"/>
        <v>182.25714285714287</v>
      </c>
      <c r="T38" s="20">
        <f t="shared" si="2"/>
        <v>162.9714285714286</v>
      </c>
      <c r="U38" s="119">
        <f t="shared" si="0"/>
        <v>21.62285714285713</v>
      </c>
    </row>
    <row r="39" spans="1:21" s="21" customFormat="1" ht="15.75" customHeight="1">
      <c r="A39" s="19">
        <f t="shared" si="3"/>
        <v>36</v>
      </c>
      <c r="B39" s="19" t="s">
        <v>219</v>
      </c>
      <c r="C39" s="19" t="s">
        <v>224</v>
      </c>
      <c r="D39" s="19">
        <v>883</v>
      </c>
      <c r="E39" s="82">
        <v>703</v>
      </c>
      <c r="F39" s="19">
        <v>996</v>
      </c>
      <c r="G39" s="82">
        <v>796</v>
      </c>
      <c r="H39" s="19">
        <v>937</v>
      </c>
      <c r="I39" s="82">
        <v>777</v>
      </c>
      <c r="J39" s="19">
        <v>853</v>
      </c>
      <c r="K39" s="82">
        <v>698</v>
      </c>
      <c r="L39" s="19">
        <v>885</v>
      </c>
      <c r="M39" s="82">
        <v>720</v>
      </c>
      <c r="N39" s="82">
        <v>906</v>
      </c>
      <c r="O39" s="82">
        <v>736</v>
      </c>
      <c r="P39" s="82"/>
      <c r="Q39" s="82"/>
      <c r="R39" s="19">
        <f t="shared" si="1"/>
        <v>5460</v>
      </c>
      <c r="S39" s="20">
        <f t="shared" si="2"/>
        <v>182</v>
      </c>
      <c r="T39" s="20">
        <f t="shared" si="2"/>
        <v>147.66666666666669</v>
      </c>
      <c r="U39" s="119">
        <f t="shared" si="0"/>
        <v>33.86666666666665</v>
      </c>
    </row>
    <row r="40" spans="1:21" s="21" customFormat="1" ht="15.75" customHeight="1">
      <c r="A40" s="19">
        <f t="shared" si="3"/>
        <v>37</v>
      </c>
      <c r="B40" s="19" t="s">
        <v>157</v>
      </c>
      <c r="C40" s="19" t="s">
        <v>163</v>
      </c>
      <c r="D40" s="19">
        <v>860</v>
      </c>
      <c r="E40" s="82">
        <v>560</v>
      </c>
      <c r="F40" s="19">
        <v>894</v>
      </c>
      <c r="G40" s="82">
        <v>594</v>
      </c>
      <c r="H40" s="19">
        <v>948</v>
      </c>
      <c r="I40" s="82">
        <v>648</v>
      </c>
      <c r="J40" s="19">
        <v>951</v>
      </c>
      <c r="K40" s="82">
        <v>671</v>
      </c>
      <c r="L40" s="82">
        <v>938</v>
      </c>
      <c r="M40" s="82">
        <v>673</v>
      </c>
      <c r="N40" s="19">
        <v>885</v>
      </c>
      <c r="O40" s="82">
        <v>630</v>
      </c>
      <c r="P40" s="82">
        <v>892</v>
      </c>
      <c r="Q40" s="82">
        <v>637</v>
      </c>
      <c r="R40" s="19">
        <f t="shared" si="1"/>
        <v>6368</v>
      </c>
      <c r="S40" s="20">
        <f t="shared" si="2"/>
        <v>181.94285714285712</v>
      </c>
      <c r="T40" s="20">
        <f t="shared" si="2"/>
        <v>126.08571428571429</v>
      </c>
      <c r="U40" s="119">
        <f t="shared" si="0"/>
        <v>51.13142857142857</v>
      </c>
    </row>
    <row r="41" spans="1:21" s="21" customFormat="1" ht="15.75" customHeight="1">
      <c r="A41" s="19">
        <f t="shared" si="3"/>
        <v>38</v>
      </c>
      <c r="B41" s="19" t="s">
        <v>55</v>
      </c>
      <c r="C41" s="19" t="s">
        <v>68</v>
      </c>
      <c r="D41" s="19">
        <v>872</v>
      </c>
      <c r="E41" s="82">
        <v>592</v>
      </c>
      <c r="F41" s="19">
        <v>870</v>
      </c>
      <c r="G41" s="82">
        <v>585</v>
      </c>
      <c r="H41" s="19">
        <v>934</v>
      </c>
      <c r="I41" s="82">
        <v>644</v>
      </c>
      <c r="J41" s="19">
        <v>926</v>
      </c>
      <c r="K41" s="82">
        <v>651</v>
      </c>
      <c r="L41" s="82">
        <v>958</v>
      </c>
      <c r="M41" s="82">
        <v>693</v>
      </c>
      <c r="N41" s="19">
        <v>895</v>
      </c>
      <c r="O41" s="82">
        <v>640</v>
      </c>
      <c r="P41" s="82">
        <v>908</v>
      </c>
      <c r="Q41" s="82">
        <v>653</v>
      </c>
      <c r="R41" s="19">
        <f t="shared" si="1"/>
        <v>6363</v>
      </c>
      <c r="S41" s="20">
        <f t="shared" si="2"/>
        <v>181.8</v>
      </c>
      <c r="T41" s="20">
        <f t="shared" si="2"/>
        <v>127.37142857142858</v>
      </c>
      <c r="U41" s="119">
        <f t="shared" si="0"/>
        <v>50.10285714285714</v>
      </c>
    </row>
    <row r="42" spans="1:21" s="21" customFormat="1" ht="15.75" customHeight="1">
      <c r="A42" s="19">
        <f t="shared" si="3"/>
        <v>39</v>
      </c>
      <c r="B42" s="19" t="s">
        <v>155</v>
      </c>
      <c r="C42" s="19" t="s">
        <v>162</v>
      </c>
      <c r="D42" s="19">
        <v>814</v>
      </c>
      <c r="E42" s="82">
        <v>609</v>
      </c>
      <c r="F42" s="19">
        <v>992</v>
      </c>
      <c r="G42" s="82">
        <v>717</v>
      </c>
      <c r="H42" s="19">
        <v>953</v>
      </c>
      <c r="I42" s="82">
        <v>723</v>
      </c>
      <c r="J42" s="19">
        <v>892</v>
      </c>
      <c r="K42" s="82">
        <v>677</v>
      </c>
      <c r="L42" s="82">
        <v>906</v>
      </c>
      <c r="M42" s="82">
        <v>691</v>
      </c>
      <c r="N42" s="82">
        <v>924</v>
      </c>
      <c r="O42" s="82">
        <v>709</v>
      </c>
      <c r="P42" s="19">
        <v>881</v>
      </c>
      <c r="Q42" s="82">
        <v>671</v>
      </c>
      <c r="R42" s="19">
        <f t="shared" si="1"/>
        <v>6362</v>
      </c>
      <c r="S42" s="20">
        <f t="shared" si="2"/>
        <v>181.77142857142857</v>
      </c>
      <c r="T42" s="20">
        <f t="shared" si="2"/>
        <v>137.05714285714288</v>
      </c>
      <c r="U42" s="119">
        <f t="shared" si="0"/>
        <v>42.3542857142857</v>
      </c>
    </row>
    <row r="43" spans="1:21" s="21" customFormat="1" ht="15.75" customHeight="1">
      <c r="A43" s="19">
        <f t="shared" si="3"/>
        <v>40</v>
      </c>
      <c r="B43" s="19" t="s">
        <v>205</v>
      </c>
      <c r="C43" s="19" t="s">
        <v>222</v>
      </c>
      <c r="D43" s="19">
        <v>1041</v>
      </c>
      <c r="E43" s="82">
        <v>906</v>
      </c>
      <c r="F43" s="19">
        <v>844</v>
      </c>
      <c r="G43" s="82">
        <v>809</v>
      </c>
      <c r="H43" s="82">
        <v>730</v>
      </c>
      <c r="I43" s="82">
        <v>655</v>
      </c>
      <c r="J43" s="19">
        <v>935</v>
      </c>
      <c r="K43" s="19">
        <v>823</v>
      </c>
      <c r="L43" s="82">
        <v>908</v>
      </c>
      <c r="M43" s="82">
        <v>788</v>
      </c>
      <c r="N43" s="82"/>
      <c r="O43" s="82"/>
      <c r="P43" s="82">
        <v>983</v>
      </c>
      <c r="Q43" s="82">
        <v>858</v>
      </c>
      <c r="R43" s="19">
        <f t="shared" si="1"/>
        <v>5441</v>
      </c>
      <c r="S43" s="20">
        <f t="shared" si="2"/>
        <v>181.36666666666667</v>
      </c>
      <c r="T43" s="20">
        <f t="shared" si="2"/>
        <v>161.3</v>
      </c>
      <c r="U43" s="119">
        <f t="shared" si="0"/>
        <v>22.959999999999994</v>
      </c>
    </row>
    <row r="44" spans="1:21" s="21" customFormat="1" ht="15.75" customHeight="1">
      <c r="A44" s="19">
        <f t="shared" si="3"/>
        <v>41</v>
      </c>
      <c r="B44" s="19" t="s">
        <v>88</v>
      </c>
      <c r="C44" s="19" t="s">
        <v>103</v>
      </c>
      <c r="D44" s="19">
        <v>974</v>
      </c>
      <c r="E44" s="82">
        <v>849</v>
      </c>
      <c r="F44" s="19">
        <v>904</v>
      </c>
      <c r="G44" s="19">
        <v>824</v>
      </c>
      <c r="H44" s="19">
        <v>852</v>
      </c>
      <c r="I44" s="82">
        <v>762</v>
      </c>
      <c r="J44" s="82">
        <v>778</v>
      </c>
      <c r="K44" s="82">
        <v>668</v>
      </c>
      <c r="L44" s="19"/>
      <c r="M44" s="82"/>
      <c r="N44" s="82">
        <v>917</v>
      </c>
      <c r="O44" s="82">
        <v>777</v>
      </c>
      <c r="P44" s="82">
        <v>1005</v>
      </c>
      <c r="Q44" s="82">
        <v>865</v>
      </c>
      <c r="R44" s="19">
        <f t="shared" si="1"/>
        <v>5430</v>
      </c>
      <c r="S44" s="20">
        <f t="shared" si="2"/>
        <v>181</v>
      </c>
      <c r="T44" s="20">
        <f t="shared" si="2"/>
        <v>158.16666666666669</v>
      </c>
      <c r="U44" s="119">
        <f>(190-T44)*0.8</f>
        <v>25.466666666666654</v>
      </c>
    </row>
    <row r="45" spans="1:21" s="21" customFormat="1" ht="15.75" customHeight="1">
      <c r="A45" s="19">
        <f t="shared" si="3"/>
        <v>42</v>
      </c>
      <c r="B45" s="19" t="s">
        <v>252</v>
      </c>
      <c r="C45" s="19" t="s">
        <v>249</v>
      </c>
      <c r="D45" s="19">
        <v>888</v>
      </c>
      <c r="E45" s="82">
        <v>773</v>
      </c>
      <c r="F45" s="19">
        <v>918</v>
      </c>
      <c r="G45" s="82">
        <v>778</v>
      </c>
      <c r="H45" s="19">
        <v>932</v>
      </c>
      <c r="I45" s="82">
        <v>792</v>
      </c>
      <c r="J45" s="19">
        <v>888</v>
      </c>
      <c r="K45" s="82">
        <v>753</v>
      </c>
      <c r="L45" s="19">
        <v>888</v>
      </c>
      <c r="M45" s="82">
        <v>748</v>
      </c>
      <c r="N45" s="82">
        <v>958</v>
      </c>
      <c r="O45" s="19">
        <v>813</v>
      </c>
      <c r="P45" s="19">
        <v>858</v>
      </c>
      <c r="Q45" s="82">
        <v>718</v>
      </c>
      <c r="R45" s="19">
        <f t="shared" si="1"/>
        <v>6330</v>
      </c>
      <c r="S45" s="20">
        <f t="shared" si="2"/>
        <v>180.85714285714286</v>
      </c>
      <c r="T45" s="20">
        <f t="shared" si="2"/>
        <v>153.57142857142858</v>
      </c>
      <c r="U45" s="119">
        <f t="shared" si="0"/>
        <v>29.142857142857135</v>
      </c>
    </row>
    <row r="46" spans="1:21" s="21" customFormat="1" ht="15.75" customHeight="1">
      <c r="A46" s="19">
        <f t="shared" si="3"/>
        <v>43</v>
      </c>
      <c r="B46" s="19" t="s">
        <v>178</v>
      </c>
      <c r="C46" s="19" t="s">
        <v>174</v>
      </c>
      <c r="D46" s="19">
        <v>989</v>
      </c>
      <c r="E46" s="19">
        <v>849</v>
      </c>
      <c r="F46" s="19">
        <v>872</v>
      </c>
      <c r="G46" s="82">
        <v>792</v>
      </c>
      <c r="H46" s="19">
        <v>897</v>
      </c>
      <c r="I46" s="82">
        <v>792</v>
      </c>
      <c r="J46" s="19">
        <v>820</v>
      </c>
      <c r="K46" s="82">
        <v>710</v>
      </c>
      <c r="L46" s="82">
        <v>908</v>
      </c>
      <c r="M46" s="82">
        <v>778</v>
      </c>
      <c r="N46" s="19">
        <v>886</v>
      </c>
      <c r="O46" s="82">
        <v>751</v>
      </c>
      <c r="P46" s="82">
        <v>941</v>
      </c>
      <c r="Q46" s="82">
        <v>806</v>
      </c>
      <c r="R46" s="19">
        <f t="shared" si="1"/>
        <v>6313</v>
      </c>
      <c r="S46" s="20">
        <f t="shared" si="2"/>
        <v>180.37142857142857</v>
      </c>
      <c r="T46" s="20">
        <f t="shared" si="2"/>
        <v>156.5142857142857</v>
      </c>
      <c r="U46" s="119">
        <f t="shared" si="0"/>
        <v>26.788571428571437</v>
      </c>
    </row>
    <row r="47" spans="1:21" s="21" customFormat="1" ht="15.75" customHeight="1">
      <c r="A47" s="19">
        <f t="shared" si="3"/>
        <v>44</v>
      </c>
      <c r="B47" s="19" t="s">
        <v>267</v>
      </c>
      <c r="C47" s="19" t="s">
        <v>241</v>
      </c>
      <c r="D47" s="19"/>
      <c r="E47" s="82"/>
      <c r="F47" s="19">
        <v>880</v>
      </c>
      <c r="G47" s="82">
        <v>625</v>
      </c>
      <c r="H47" s="19">
        <v>914</v>
      </c>
      <c r="I47" s="82">
        <v>654</v>
      </c>
      <c r="J47" s="19"/>
      <c r="K47" s="82"/>
      <c r="L47" s="19">
        <v>892</v>
      </c>
      <c r="M47" s="82">
        <v>642</v>
      </c>
      <c r="N47" s="82">
        <v>910</v>
      </c>
      <c r="O47" s="82">
        <v>660</v>
      </c>
      <c r="P47" s="82"/>
      <c r="Q47" s="82"/>
      <c r="R47" s="19">
        <f t="shared" si="1"/>
        <v>3596</v>
      </c>
      <c r="S47" s="20">
        <f t="shared" si="2"/>
        <v>179.8</v>
      </c>
      <c r="T47" s="20">
        <f t="shared" si="2"/>
        <v>129.05</v>
      </c>
      <c r="U47" s="119">
        <f t="shared" si="0"/>
        <v>48.75999999999999</v>
      </c>
    </row>
    <row r="48" spans="1:21" s="21" customFormat="1" ht="15.75" customHeight="1">
      <c r="A48" s="19">
        <f t="shared" si="3"/>
        <v>45</v>
      </c>
      <c r="B48" s="19" t="s">
        <v>113</v>
      </c>
      <c r="C48" s="19" t="s">
        <v>131</v>
      </c>
      <c r="D48" s="19">
        <v>944</v>
      </c>
      <c r="E48" s="82">
        <v>789</v>
      </c>
      <c r="F48" s="19">
        <v>869</v>
      </c>
      <c r="G48" s="82">
        <v>739</v>
      </c>
      <c r="H48" s="19">
        <v>882</v>
      </c>
      <c r="I48" s="82">
        <v>732</v>
      </c>
      <c r="J48" s="19">
        <v>987</v>
      </c>
      <c r="K48" s="19">
        <v>832</v>
      </c>
      <c r="L48" s="82">
        <v>896</v>
      </c>
      <c r="M48" s="82">
        <v>756</v>
      </c>
      <c r="N48" s="19">
        <v>861</v>
      </c>
      <c r="O48" s="82">
        <v>716</v>
      </c>
      <c r="P48" s="19">
        <v>853</v>
      </c>
      <c r="Q48" s="82">
        <v>703</v>
      </c>
      <c r="R48" s="19">
        <f t="shared" si="1"/>
        <v>6292</v>
      </c>
      <c r="S48" s="20">
        <f t="shared" si="2"/>
        <v>179.77142857142857</v>
      </c>
      <c r="T48" s="20">
        <f t="shared" si="2"/>
        <v>150.4857142857143</v>
      </c>
      <c r="U48" s="119">
        <f t="shared" si="0"/>
        <v>31.611428571428565</v>
      </c>
    </row>
    <row r="49" spans="1:21" s="21" customFormat="1" ht="15.75" customHeight="1">
      <c r="A49" s="19">
        <f t="shared" si="3"/>
        <v>46</v>
      </c>
      <c r="B49" s="19" t="s">
        <v>290</v>
      </c>
      <c r="C49" s="19" t="s">
        <v>226</v>
      </c>
      <c r="D49" s="19"/>
      <c r="E49" s="82"/>
      <c r="F49" s="19">
        <v>830</v>
      </c>
      <c r="G49" s="82">
        <v>680</v>
      </c>
      <c r="H49" s="19">
        <v>932</v>
      </c>
      <c r="I49" s="82">
        <v>717</v>
      </c>
      <c r="J49" s="19">
        <v>910</v>
      </c>
      <c r="K49" s="82">
        <v>710</v>
      </c>
      <c r="L49" s="82"/>
      <c r="M49" s="82"/>
      <c r="N49" s="82">
        <v>920</v>
      </c>
      <c r="O49" s="82">
        <v>720</v>
      </c>
      <c r="P49" s="82"/>
      <c r="Q49" s="82"/>
      <c r="R49" s="19">
        <f t="shared" si="1"/>
        <v>3592</v>
      </c>
      <c r="S49" s="20">
        <f t="shared" si="2"/>
        <v>179.6</v>
      </c>
      <c r="T49" s="20">
        <f t="shared" si="2"/>
        <v>141.35</v>
      </c>
      <c r="U49" s="119">
        <f>(190-T49)*0.8</f>
        <v>38.92000000000001</v>
      </c>
    </row>
    <row r="50" spans="1:21" s="21" customFormat="1" ht="15.75" customHeight="1">
      <c r="A50" s="19">
        <f t="shared" si="3"/>
        <v>47</v>
      </c>
      <c r="B50" s="19" t="s">
        <v>181</v>
      </c>
      <c r="C50" s="19" t="s">
        <v>195</v>
      </c>
      <c r="D50" s="19">
        <v>936</v>
      </c>
      <c r="E50" s="82">
        <v>726</v>
      </c>
      <c r="F50" s="19">
        <v>935</v>
      </c>
      <c r="G50" s="82">
        <v>755</v>
      </c>
      <c r="H50" s="19">
        <v>916</v>
      </c>
      <c r="I50" s="82">
        <v>746</v>
      </c>
      <c r="J50" s="19">
        <v>965</v>
      </c>
      <c r="K50" s="19">
        <v>800</v>
      </c>
      <c r="L50" s="82">
        <v>761</v>
      </c>
      <c r="M50" s="82">
        <v>606</v>
      </c>
      <c r="N50" s="19">
        <v>869</v>
      </c>
      <c r="O50" s="82">
        <v>689</v>
      </c>
      <c r="P50" s="82"/>
      <c r="Q50" s="82"/>
      <c r="R50" s="19">
        <f t="shared" si="1"/>
        <v>5382</v>
      </c>
      <c r="S50" s="20">
        <f t="shared" si="2"/>
        <v>179.4</v>
      </c>
      <c r="T50" s="20">
        <f t="shared" si="2"/>
        <v>144.06666666666666</v>
      </c>
      <c r="U50" s="119">
        <f t="shared" si="0"/>
        <v>36.74666666666667</v>
      </c>
    </row>
    <row r="51" spans="1:21" s="21" customFormat="1" ht="15.75" customHeight="1">
      <c r="A51" s="19">
        <f t="shared" si="3"/>
        <v>48</v>
      </c>
      <c r="B51" s="19" t="s">
        <v>182</v>
      </c>
      <c r="C51" s="19" t="s">
        <v>171</v>
      </c>
      <c r="D51" s="19">
        <v>1024</v>
      </c>
      <c r="E51" s="82">
        <v>724</v>
      </c>
      <c r="F51" s="19">
        <v>921</v>
      </c>
      <c r="G51" s="82">
        <v>741</v>
      </c>
      <c r="H51" s="19">
        <v>873</v>
      </c>
      <c r="I51" s="82">
        <v>698</v>
      </c>
      <c r="J51" s="82">
        <v>798</v>
      </c>
      <c r="K51" s="82">
        <v>613</v>
      </c>
      <c r="L51" s="82">
        <v>907</v>
      </c>
      <c r="M51" s="82">
        <v>702</v>
      </c>
      <c r="N51" s="19">
        <v>858</v>
      </c>
      <c r="O51" s="82">
        <v>653</v>
      </c>
      <c r="P51" s="82"/>
      <c r="Q51" s="82"/>
      <c r="R51" s="19">
        <f t="shared" si="1"/>
        <v>5381</v>
      </c>
      <c r="S51" s="20">
        <f t="shared" si="2"/>
        <v>179.36666666666667</v>
      </c>
      <c r="T51" s="20">
        <f t="shared" si="2"/>
        <v>137.7</v>
      </c>
      <c r="U51" s="119">
        <f t="shared" si="0"/>
        <v>41.84000000000001</v>
      </c>
    </row>
    <row r="52" spans="1:21" s="21" customFormat="1" ht="15.75" customHeight="1">
      <c r="A52" s="19">
        <f t="shared" si="3"/>
        <v>49</v>
      </c>
      <c r="B52" s="19" t="s">
        <v>256</v>
      </c>
      <c r="C52" s="19" t="s">
        <v>223</v>
      </c>
      <c r="D52" s="19">
        <v>1004</v>
      </c>
      <c r="E52" s="82">
        <v>704</v>
      </c>
      <c r="F52" s="19">
        <v>897</v>
      </c>
      <c r="G52" s="82">
        <v>702</v>
      </c>
      <c r="H52" s="19">
        <v>874</v>
      </c>
      <c r="I52" s="82">
        <v>674</v>
      </c>
      <c r="J52" s="19">
        <v>852</v>
      </c>
      <c r="K52" s="82">
        <v>647</v>
      </c>
      <c r="L52" s="19">
        <v>869</v>
      </c>
      <c r="M52" s="82">
        <v>654</v>
      </c>
      <c r="N52" s="19">
        <v>878</v>
      </c>
      <c r="O52" s="82">
        <v>658</v>
      </c>
      <c r="P52" s="82"/>
      <c r="Q52" s="82"/>
      <c r="R52" s="19">
        <f t="shared" si="1"/>
        <v>5374</v>
      </c>
      <c r="S52" s="20">
        <f t="shared" si="2"/>
        <v>179.13333333333333</v>
      </c>
      <c r="T52" s="20">
        <f t="shared" si="2"/>
        <v>134.63333333333333</v>
      </c>
      <c r="U52" s="119">
        <f>(190-T52)*0.8</f>
        <v>44.293333333333344</v>
      </c>
    </row>
    <row r="53" spans="1:21" s="21" customFormat="1" ht="15.75" customHeight="1">
      <c r="A53" s="19">
        <f t="shared" si="3"/>
        <v>50</v>
      </c>
      <c r="B53" s="19" t="s">
        <v>153</v>
      </c>
      <c r="C53" s="19" t="s">
        <v>162</v>
      </c>
      <c r="D53" s="19">
        <v>1010</v>
      </c>
      <c r="E53" s="82">
        <v>750</v>
      </c>
      <c r="F53" s="19">
        <v>863</v>
      </c>
      <c r="G53" s="82">
        <v>703</v>
      </c>
      <c r="H53" s="19">
        <v>931</v>
      </c>
      <c r="I53" s="82">
        <v>751</v>
      </c>
      <c r="J53" s="82">
        <v>796</v>
      </c>
      <c r="K53" s="82">
        <v>626</v>
      </c>
      <c r="L53" s="19">
        <v>885</v>
      </c>
      <c r="M53" s="82">
        <v>690</v>
      </c>
      <c r="N53" s="19">
        <v>836</v>
      </c>
      <c r="O53" s="82">
        <v>641</v>
      </c>
      <c r="P53" s="82">
        <v>940</v>
      </c>
      <c r="Q53" s="82">
        <v>735</v>
      </c>
      <c r="R53" s="19">
        <f t="shared" si="1"/>
        <v>6261</v>
      </c>
      <c r="S53" s="20">
        <f t="shared" si="2"/>
        <v>178.8857142857143</v>
      </c>
      <c r="T53" s="20">
        <f t="shared" si="2"/>
        <v>139.8857142857143</v>
      </c>
      <c r="U53" s="119">
        <f t="shared" si="0"/>
        <v>40.091428571428565</v>
      </c>
    </row>
    <row r="54" spans="1:21" s="21" customFormat="1" ht="15">
      <c r="A54" s="19">
        <f t="shared" si="3"/>
        <v>51</v>
      </c>
      <c r="B54" s="19" t="s">
        <v>231</v>
      </c>
      <c r="C54" s="19" t="s">
        <v>258</v>
      </c>
      <c r="D54" s="19">
        <v>875</v>
      </c>
      <c r="E54" s="82">
        <v>575</v>
      </c>
      <c r="F54" s="19">
        <v>867</v>
      </c>
      <c r="G54" s="82">
        <v>567</v>
      </c>
      <c r="H54" s="19">
        <v>905</v>
      </c>
      <c r="I54" s="82">
        <v>605</v>
      </c>
      <c r="J54" s="19">
        <v>903</v>
      </c>
      <c r="K54" s="82">
        <v>608</v>
      </c>
      <c r="L54" s="82">
        <v>905</v>
      </c>
      <c r="M54" s="82">
        <v>615</v>
      </c>
      <c r="N54" s="82">
        <v>906</v>
      </c>
      <c r="O54" s="82">
        <v>621</v>
      </c>
      <c r="P54" s="82"/>
      <c r="Q54" s="82"/>
      <c r="R54" s="19">
        <f t="shared" si="1"/>
        <v>5361</v>
      </c>
      <c r="S54" s="20">
        <f t="shared" si="2"/>
        <v>178.7</v>
      </c>
      <c r="T54" s="20">
        <f t="shared" si="2"/>
        <v>119.7</v>
      </c>
      <c r="U54" s="119">
        <f t="shared" si="0"/>
        <v>56.24</v>
      </c>
    </row>
    <row r="55" spans="1:21" s="21" customFormat="1" ht="15">
      <c r="A55" s="19">
        <f t="shared" si="3"/>
        <v>52</v>
      </c>
      <c r="B55" s="19" t="s">
        <v>46</v>
      </c>
      <c r="C55" s="19" t="s">
        <v>67</v>
      </c>
      <c r="D55" s="19">
        <v>971</v>
      </c>
      <c r="E55" s="19">
        <v>816</v>
      </c>
      <c r="F55" s="19">
        <v>880</v>
      </c>
      <c r="G55" s="82">
        <v>775</v>
      </c>
      <c r="H55" s="19">
        <v>923</v>
      </c>
      <c r="I55" s="82">
        <v>798</v>
      </c>
      <c r="J55" s="19">
        <v>826</v>
      </c>
      <c r="K55" s="82">
        <v>701</v>
      </c>
      <c r="L55" s="19">
        <v>858</v>
      </c>
      <c r="M55" s="82">
        <v>718</v>
      </c>
      <c r="N55" s="82">
        <v>902</v>
      </c>
      <c r="O55" s="82">
        <v>752</v>
      </c>
      <c r="P55" s="82"/>
      <c r="Q55" s="82"/>
      <c r="R55" s="19">
        <f t="shared" si="1"/>
        <v>5360</v>
      </c>
      <c r="S55" s="20">
        <f t="shared" si="2"/>
        <v>178.66666666666669</v>
      </c>
      <c r="T55" s="20">
        <f t="shared" si="2"/>
        <v>152</v>
      </c>
      <c r="U55" s="119">
        <f>(190-T55)*0.8</f>
        <v>30.400000000000002</v>
      </c>
    </row>
    <row r="56" spans="1:21" s="21" customFormat="1" ht="15.75" customHeight="1">
      <c r="A56" s="19">
        <f t="shared" si="3"/>
        <v>53</v>
      </c>
      <c r="B56" s="19" t="s">
        <v>217</v>
      </c>
      <c r="C56" s="19" t="s">
        <v>225</v>
      </c>
      <c r="D56" s="19">
        <v>809</v>
      </c>
      <c r="E56" s="82">
        <v>679</v>
      </c>
      <c r="F56" s="19">
        <v>948</v>
      </c>
      <c r="G56" s="82">
        <v>733</v>
      </c>
      <c r="H56" s="19">
        <v>994</v>
      </c>
      <c r="I56" s="82">
        <v>799</v>
      </c>
      <c r="J56" s="19">
        <v>818</v>
      </c>
      <c r="K56" s="82">
        <v>648</v>
      </c>
      <c r="L56" s="82"/>
      <c r="M56" s="82"/>
      <c r="N56" s="82"/>
      <c r="O56" s="82"/>
      <c r="P56" s="82"/>
      <c r="Q56" s="82"/>
      <c r="R56" s="19">
        <f t="shared" si="1"/>
        <v>3569</v>
      </c>
      <c r="S56" s="20">
        <f t="shared" si="2"/>
        <v>178.45</v>
      </c>
      <c r="T56" s="20">
        <f t="shared" si="2"/>
        <v>142.95</v>
      </c>
      <c r="U56" s="119">
        <f t="shared" si="0"/>
        <v>37.64000000000001</v>
      </c>
    </row>
    <row r="57" spans="1:21" s="21" customFormat="1" ht="15.75" customHeight="1">
      <c r="A57" s="19">
        <f t="shared" si="3"/>
        <v>54</v>
      </c>
      <c r="B57" s="19" t="s">
        <v>50</v>
      </c>
      <c r="C57" s="19" t="s">
        <v>66</v>
      </c>
      <c r="D57" s="19">
        <v>967</v>
      </c>
      <c r="E57" s="19">
        <v>857</v>
      </c>
      <c r="F57" s="19">
        <v>885</v>
      </c>
      <c r="G57" s="19">
        <v>810</v>
      </c>
      <c r="H57" s="19"/>
      <c r="I57" s="82"/>
      <c r="J57" s="19">
        <v>825</v>
      </c>
      <c r="K57" s="82">
        <v>730</v>
      </c>
      <c r="L57" s="19">
        <v>898</v>
      </c>
      <c r="M57" s="82">
        <v>778</v>
      </c>
      <c r="N57" s="82">
        <v>853</v>
      </c>
      <c r="O57" s="82">
        <v>728</v>
      </c>
      <c r="P57" s="82">
        <v>925</v>
      </c>
      <c r="Q57" s="82">
        <v>790</v>
      </c>
      <c r="R57" s="19">
        <f t="shared" si="1"/>
        <v>5353</v>
      </c>
      <c r="S57" s="20">
        <f t="shared" si="2"/>
        <v>178.43333333333334</v>
      </c>
      <c r="T57" s="20">
        <f t="shared" si="2"/>
        <v>156.43333333333334</v>
      </c>
      <c r="U57" s="119">
        <f t="shared" si="0"/>
        <v>26.85333333333333</v>
      </c>
    </row>
    <row r="58" spans="1:21" s="21" customFormat="1" ht="15.75" customHeight="1">
      <c r="A58" s="19">
        <f t="shared" si="3"/>
        <v>55</v>
      </c>
      <c r="B58" s="19" t="s">
        <v>268</v>
      </c>
      <c r="C58" s="19" t="s">
        <v>241</v>
      </c>
      <c r="D58" s="19"/>
      <c r="E58" s="82"/>
      <c r="F58" s="19">
        <v>1005</v>
      </c>
      <c r="G58" s="82">
        <v>745</v>
      </c>
      <c r="H58" s="19">
        <v>800</v>
      </c>
      <c r="I58" s="82">
        <v>635</v>
      </c>
      <c r="J58" s="19">
        <v>945</v>
      </c>
      <c r="K58" s="82">
        <v>735</v>
      </c>
      <c r="L58" s="19">
        <v>808</v>
      </c>
      <c r="M58" s="82">
        <v>613</v>
      </c>
      <c r="N58" s="82"/>
      <c r="O58" s="82"/>
      <c r="P58" s="82"/>
      <c r="Q58" s="82"/>
      <c r="R58" s="19">
        <f t="shared" si="1"/>
        <v>3558</v>
      </c>
      <c r="S58" s="20">
        <f t="shared" si="2"/>
        <v>177.9</v>
      </c>
      <c r="T58" s="20">
        <f t="shared" si="2"/>
        <v>136.4</v>
      </c>
      <c r="U58" s="119">
        <f t="shared" si="0"/>
        <v>42.879999999999995</v>
      </c>
    </row>
    <row r="59" spans="1:21" s="21" customFormat="1" ht="15.75" customHeight="1">
      <c r="A59" s="19">
        <f t="shared" si="3"/>
        <v>56</v>
      </c>
      <c r="B59" s="19" t="s">
        <v>123</v>
      </c>
      <c r="C59" s="19" t="s">
        <v>110</v>
      </c>
      <c r="D59" s="19">
        <v>831</v>
      </c>
      <c r="E59" s="82">
        <v>571</v>
      </c>
      <c r="F59" s="19"/>
      <c r="G59" s="82"/>
      <c r="H59" s="19"/>
      <c r="I59" s="82"/>
      <c r="J59" s="19">
        <v>961</v>
      </c>
      <c r="K59" s="82">
        <v>661</v>
      </c>
      <c r="L59" s="19">
        <v>857</v>
      </c>
      <c r="M59" s="82">
        <v>592</v>
      </c>
      <c r="N59" s="82">
        <v>904</v>
      </c>
      <c r="O59" s="82">
        <v>629</v>
      </c>
      <c r="P59" s="82"/>
      <c r="Q59" s="82"/>
      <c r="R59" s="19">
        <f t="shared" si="1"/>
        <v>3553</v>
      </c>
      <c r="S59" s="20">
        <f t="shared" si="2"/>
        <v>177.65</v>
      </c>
      <c r="T59" s="20">
        <f t="shared" si="2"/>
        <v>122.65</v>
      </c>
      <c r="U59" s="119">
        <f t="shared" si="0"/>
        <v>53.879999999999995</v>
      </c>
    </row>
    <row r="60" spans="1:21" s="21" customFormat="1" ht="15.75" customHeight="1">
      <c r="A60" s="19">
        <f t="shared" si="3"/>
        <v>57</v>
      </c>
      <c r="B60" s="19" t="s">
        <v>81</v>
      </c>
      <c r="C60" s="19" t="s">
        <v>74</v>
      </c>
      <c r="D60" s="19">
        <v>1014</v>
      </c>
      <c r="E60" s="19">
        <v>814</v>
      </c>
      <c r="F60" s="19">
        <v>835</v>
      </c>
      <c r="G60" s="82">
        <v>725</v>
      </c>
      <c r="H60" s="19">
        <v>809</v>
      </c>
      <c r="I60" s="82">
        <v>664</v>
      </c>
      <c r="J60" s="19">
        <v>839</v>
      </c>
      <c r="K60" s="82">
        <v>664</v>
      </c>
      <c r="L60" s="82">
        <v>962</v>
      </c>
      <c r="M60" s="82">
        <v>777</v>
      </c>
      <c r="N60" s="19">
        <v>862</v>
      </c>
      <c r="O60" s="82">
        <v>687</v>
      </c>
      <c r="P60" s="82"/>
      <c r="Q60" s="82"/>
      <c r="R60" s="19">
        <f t="shared" si="1"/>
        <v>5321</v>
      </c>
      <c r="S60" s="20">
        <f t="shared" si="2"/>
        <v>177.36666666666667</v>
      </c>
      <c r="T60" s="20">
        <f t="shared" si="2"/>
        <v>144.36666666666667</v>
      </c>
      <c r="U60" s="119">
        <f>(190-T60)*0.8</f>
        <v>36.50666666666666</v>
      </c>
    </row>
    <row r="61" spans="1:21" s="21" customFormat="1" ht="15.75" customHeight="1">
      <c r="A61" s="19">
        <f t="shared" si="3"/>
        <v>58</v>
      </c>
      <c r="B61" s="19" t="s">
        <v>97</v>
      </c>
      <c r="C61" s="19" t="s">
        <v>80</v>
      </c>
      <c r="D61" s="19">
        <v>834</v>
      </c>
      <c r="E61" s="82">
        <v>594</v>
      </c>
      <c r="F61" s="19">
        <v>927</v>
      </c>
      <c r="G61" s="82">
        <v>642</v>
      </c>
      <c r="H61" s="19"/>
      <c r="I61" s="82"/>
      <c r="J61" s="19">
        <v>869</v>
      </c>
      <c r="K61" s="82">
        <v>604</v>
      </c>
      <c r="L61" s="19">
        <v>848</v>
      </c>
      <c r="M61" s="82">
        <v>578</v>
      </c>
      <c r="N61" s="19">
        <v>883</v>
      </c>
      <c r="O61" s="82">
        <v>608</v>
      </c>
      <c r="P61" s="82">
        <v>958</v>
      </c>
      <c r="Q61" s="82">
        <v>683</v>
      </c>
      <c r="R61" s="19">
        <f t="shared" si="1"/>
        <v>5319</v>
      </c>
      <c r="S61" s="20">
        <f t="shared" si="2"/>
        <v>177.3</v>
      </c>
      <c r="T61" s="20">
        <f t="shared" si="2"/>
        <v>123.63333333333333</v>
      </c>
      <c r="U61" s="119">
        <f>(190-T61)*0.8</f>
        <v>53.09333333333334</v>
      </c>
    </row>
    <row r="62" spans="1:21" s="21" customFormat="1" ht="15.75" customHeight="1">
      <c r="A62" s="19">
        <f t="shared" si="3"/>
        <v>59</v>
      </c>
      <c r="B62" s="19" t="s">
        <v>179</v>
      </c>
      <c r="C62" s="19" t="s">
        <v>195</v>
      </c>
      <c r="D62" s="19">
        <v>880</v>
      </c>
      <c r="E62" s="82">
        <v>670</v>
      </c>
      <c r="F62" s="19">
        <v>994</v>
      </c>
      <c r="G62" s="82">
        <v>769</v>
      </c>
      <c r="H62" s="19">
        <v>876</v>
      </c>
      <c r="I62" s="82">
        <v>691</v>
      </c>
      <c r="J62" s="19">
        <v>866</v>
      </c>
      <c r="K62" s="82">
        <v>676</v>
      </c>
      <c r="L62" s="19">
        <v>844</v>
      </c>
      <c r="M62" s="82">
        <v>644</v>
      </c>
      <c r="N62" s="19">
        <v>857</v>
      </c>
      <c r="O62" s="82">
        <v>647</v>
      </c>
      <c r="P62" s="82"/>
      <c r="Q62" s="82"/>
      <c r="R62" s="19">
        <f t="shared" si="1"/>
        <v>5317</v>
      </c>
      <c r="S62" s="20">
        <f t="shared" si="2"/>
        <v>177.23333333333332</v>
      </c>
      <c r="T62" s="20">
        <f t="shared" si="2"/>
        <v>136.56666666666666</v>
      </c>
      <c r="U62" s="119">
        <f t="shared" si="0"/>
        <v>42.74666666666667</v>
      </c>
    </row>
    <row r="63" spans="1:21" s="21" customFormat="1" ht="15.75" customHeight="1">
      <c r="A63" s="19">
        <f t="shared" si="3"/>
        <v>60</v>
      </c>
      <c r="B63" s="19" t="s">
        <v>94</v>
      </c>
      <c r="C63" s="19" t="s">
        <v>100</v>
      </c>
      <c r="D63" s="19">
        <v>949</v>
      </c>
      <c r="E63" s="19">
        <v>804</v>
      </c>
      <c r="F63" s="19">
        <v>851</v>
      </c>
      <c r="G63" s="82">
        <v>736</v>
      </c>
      <c r="H63" s="19">
        <v>867</v>
      </c>
      <c r="I63" s="82">
        <v>722</v>
      </c>
      <c r="J63" s="19">
        <v>817</v>
      </c>
      <c r="K63" s="82">
        <v>662</v>
      </c>
      <c r="L63" s="82">
        <v>911</v>
      </c>
      <c r="M63" s="82">
        <v>736</v>
      </c>
      <c r="N63" s="19">
        <v>894</v>
      </c>
      <c r="O63" s="82">
        <v>719</v>
      </c>
      <c r="P63" s="82">
        <v>908</v>
      </c>
      <c r="Q63" s="82">
        <v>733</v>
      </c>
      <c r="R63" s="19">
        <f t="shared" si="1"/>
        <v>6197</v>
      </c>
      <c r="S63" s="20">
        <f t="shared" si="2"/>
        <v>177.05714285714288</v>
      </c>
      <c r="T63" s="20">
        <f t="shared" si="2"/>
        <v>146.05714285714288</v>
      </c>
      <c r="U63" s="119">
        <f t="shared" si="0"/>
        <v>35.1542857142857</v>
      </c>
    </row>
    <row r="64" spans="1:21" s="21" customFormat="1" ht="15.75" customHeight="1">
      <c r="A64" s="19">
        <f aca="true" t="shared" si="4" ref="A64:A83">A63+1</f>
        <v>61</v>
      </c>
      <c r="B64" s="19" t="s">
        <v>54</v>
      </c>
      <c r="C64" s="19" t="s">
        <v>68</v>
      </c>
      <c r="D64" s="19">
        <v>904</v>
      </c>
      <c r="E64" s="82">
        <v>699</v>
      </c>
      <c r="F64" s="19">
        <v>860</v>
      </c>
      <c r="G64" s="82">
        <v>660</v>
      </c>
      <c r="H64" s="19">
        <v>877</v>
      </c>
      <c r="I64" s="82">
        <v>662</v>
      </c>
      <c r="J64" s="19">
        <v>883</v>
      </c>
      <c r="K64" s="82">
        <v>663</v>
      </c>
      <c r="L64" s="82">
        <v>917</v>
      </c>
      <c r="M64" s="82">
        <v>692</v>
      </c>
      <c r="N64" s="19">
        <v>866</v>
      </c>
      <c r="O64" s="82">
        <v>646</v>
      </c>
      <c r="P64" s="19">
        <v>885</v>
      </c>
      <c r="Q64" s="82">
        <v>660</v>
      </c>
      <c r="R64" s="19">
        <f t="shared" si="1"/>
        <v>6192</v>
      </c>
      <c r="S64" s="20">
        <f t="shared" si="2"/>
        <v>176.9142857142857</v>
      </c>
      <c r="T64" s="20">
        <f t="shared" si="2"/>
        <v>133.77142857142857</v>
      </c>
      <c r="U64" s="119">
        <f>(190-T64)*0.8</f>
        <v>44.98285714285714</v>
      </c>
    </row>
    <row r="65" spans="1:21" s="21" customFormat="1" ht="15.75" customHeight="1">
      <c r="A65" s="19">
        <f t="shared" si="4"/>
        <v>62</v>
      </c>
      <c r="B65" s="19" t="s">
        <v>90</v>
      </c>
      <c r="C65" s="19" t="s">
        <v>102</v>
      </c>
      <c r="D65" s="19">
        <v>865</v>
      </c>
      <c r="E65" s="82">
        <v>685</v>
      </c>
      <c r="F65" s="19"/>
      <c r="G65" s="82"/>
      <c r="H65" s="19">
        <v>949</v>
      </c>
      <c r="I65" s="82">
        <v>739</v>
      </c>
      <c r="J65" s="19">
        <v>839</v>
      </c>
      <c r="K65" s="82">
        <v>649</v>
      </c>
      <c r="L65" s="19">
        <v>827</v>
      </c>
      <c r="M65" s="82">
        <v>622</v>
      </c>
      <c r="N65" s="82"/>
      <c r="O65" s="82"/>
      <c r="P65" s="82">
        <v>930</v>
      </c>
      <c r="Q65" s="82">
        <v>710</v>
      </c>
      <c r="R65" s="19">
        <f t="shared" si="1"/>
        <v>4410</v>
      </c>
      <c r="S65" s="20">
        <f t="shared" si="2"/>
        <v>176.4</v>
      </c>
      <c r="T65" s="20">
        <f t="shared" si="2"/>
        <v>136.2</v>
      </c>
      <c r="U65" s="119">
        <f t="shared" si="0"/>
        <v>43.04000000000001</v>
      </c>
    </row>
    <row r="66" spans="1:21" s="21" customFormat="1" ht="15.75" customHeight="1">
      <c r="A66" s="19">
        <f t="shared" si="4"/>
        <v>63</v>
      </c>
      <c r="B66" s="19" t="s">
        <v>238</v>
      </c>
      <c r="C66" s="19" t="s">
        <v>237</v>
      </c>
      <c r="D66" s="19">
        <v>894</v>
      </c>
      <c r="E66" s="82">
        <v>634</v>
      </c>
      <c r="F66" s="19"/>
      <c r="G66" s="82"/>
      <c r="H66" s="19">
        <v>855</v>
      </c>
      <c r="I66" s="82">
        <v>600</v>
      </c>
      <c r="J66" s="19">
        <v>898</v>
      </c>
      <c r="K66" s="82">
        <v>633</v>
      </c>
      <c r="L66" s="82"/>
      <c r="M66" s="82"/>
      <c r="N66" s="19">
        <v>880</v>
      </c>
      <c r="O66" s="82">
        <v>620</v>
      </c>
      <c r="P66" s="82"/>
      <c r="Q66" s="82"/>
      <c r="R66" s="19">
        <f t="shared" si="1"/>
        <v>3527</v>
      </c>
      <c r="S66" s="20">
        <f t="shared" si="2"/>
        <v>176.35</v>
      </c>
      <c r="T66" s="20">
        <f t="shared" si="2"/>
        <v>124.35</v>
      </c>
      <c r="U66" s="119">
        <f t="shared" si="0"/>
        <v>52.52000000000001</v>
      </c>
    </row>
    <row r="67" spans="1:21" s="21" customFormat="1" ht="15.75" customHeight="1">
      <c r="A67" s="19">
        <f t="shared" si="4"/>
        <v>64</v>
      </c>
      <c r="B67" s="19" t="s">
        <v>187</v>
      </c>
      <c r="C67" s="19" t="s">
        <v>193</v>
      </c>
      <c r="D67" s="19">
        <v>993</v>
      </c>
      <c r="E67" s="19">
        <v>808</v>
      </c>
      <c r="F67" s="19"/>
      <c r="G67" s="82"/>
      <c r="H67" s="19">
        <v>916</v>
      </c>
      <c r="I67" s="19">
        <v>801</v>
      </c>
      <c r="J67" s="19">
        <v>871</v>
      </c>
      <c r="K67" s="82">
        <v>756</v>
      </c>
      <c r="L67" s="82">
        <v>790</v>
      </c>
      <c r="M67" s="82">
        <v>660</v>
      </c>
      <c r="N67" s="19">
        <v>854</v>
      </c>
      <c r="O67" s="82">
        <v>699</v>
      </c>
      <c r="P67" s="19">
        <v>861</v>
      </c>
      <c r="Q67" s="82">
        <v>696</v>
      </c>
      <c r="R67" s="19">
        <f t="shared" si="1"/>
        <v>5285</v>
      </c>
      <c r="S67" s="20">
        <f t="shared" si="2"/>
        <v>176.16666666666669</v>
      </c>
      <c r="T67" s="20">
        <f t="shared" si="2"/>
        <v>147.33333333333331</v>
      </c>
      <c r="U67" s="119">
        <f>(190-T67)*0.8</f>
        <v>34.13333333333335</v>
      </c>
    </row>
    <row r="68" spans="1:21" s="21" customFormat="1" ht="15.75" customHeight="1">
      <c r="A68" s="19">
        <f t="shared" si="4"/>
        <v>65</v>
      </c>
      <c r="B68" s="19" t="s">
        <v>149</v>
      </c>
      <c r="C68" s="19" t="s">
        <v>159</v>
      </c>
      <c r="D68" s="19">
        <v>931</v>
      </c>
      <c r="E68" s="82">
        <v>716</v>
      </c>
      <c r="F68" s="19">
        <v>920</v>
      </c>
      <c r="G68" s="82">
        <v>735</v>
      </c>
      <c r="H68" s="19">
        <v>840</v>
      </c>
      <c r="I68" s="82">
        <v>660</v>
      </c>
      <c r="J68" s="19">
        <v>849</v>
      </c>
      <c r="K68" s="82">
        <v>654</v>
      </c>
      <c r="L68" s="19">
        <v>883</v>
      </c>
      <c r="M68" s="82">
        <v>678</v>
      </c>
      <c r="N68" s="19">
        <v>835</v>
      </c>
      <c r="O68" s="82">
        <v>625</v>
      </c>
      <c r="P68" s="82"/>
      <c r="Q68" s="82"/>
      <c r="R68" s="19">
        <f t="shared" si="1"/>
        <v>5258</v>
      </c>
      <c r="S68" s="20">
        <f t="shared" si="2"/>
        <v>175.26666666666668</v>
      </c>
      <c r="T68" s="20">
        <f t="shared" si="2"/>
        <v>135.6</v>
      </c>
      <c r="U68" s="119">
        <f t="shared" si="0"/>
        <v>43.52000000000001</v>
      </c>
    </row>
    <row r="69" spans="1:21" s="21" customFormat="1" ht="15.75" customHeight="1">
      <c r="A69" s="19">
        <f t="shared" si="4"/>
        <v>66</v>
      </c>
      <c r="B69" s="19" t="s">
        <v>49</v>
      </c>
      <c r="C69" s="19" t="s">
        <v>15</v>
      </c>
      <c r="D69" s="19">
        <v>1006</v>
      </c>
      <c r="E69" s="82">
        <v>791</v>
      </c>
      <c r="F69" s="82">
        <v>751</v>
      </c>
      <c r="G69" s="82">
        <v>626</v>
      </c>
      <c r="H69" s="19">
        <v>884</v>
      </c>
      <c r="I69" s="82">
        <v>689</v>
      </c>
      <c r="J69" s="19">
        <v>868</v>
      </c>
      <c r="K69" s="82">
        <v>668</v>
      </c>
      <c r="L69" s="19">
        <v>882</v>
      </c>
      <c r="M69" s="82">
        <v>677</v>
      </c>
      <c r="N69" s="19">
        <v>859</v>
      </c>
      <c r="O69" s="82">
        <v>649</v>
      </c>
      <c r="P69" s="82"/>
      <c r="Q69" s="82"/>
      <c r="R69" s="19">
        <f aca="true" t="shared" si="5" ref="R69:R121">SUM(D69+F69+H69+J69+L69+N69+P69)</f>
        <v>5250</v>
      </c>
      <c r="S69" s="20">
        <f aca="true" t="shared" si="6" ref="S69:T121">AVERAGE(D69,F69,H69,J69,L69,N69,P69)/5</f>
        <v>175</v>
      </c>
      <c r="T69" s="20">
        <f t="shared" si="6"/>
        <v>136.66666666666669</v>
      </c>
      <c r="U69" s="119">
        <f>(190-T69)*0.8</f>
        <v>42.66666666666666</v>
      </c>
    </row>
    <row r="70" spans="1:21" s="21" customFormat="1" ht="15.75" customHeight="1">
      <c r="A70" s="19">
        <f t="shared" si="4"/>
        <v>67</v>
      </c>
      <c r="B70" s="19" t="s">
        <v>232</v>
      </c>
      <c r="C70" s="19" t="s">
        <v>258</v>
      </c>
      <c r="D70" s="19">
        <v>898</v>
      </c>
      <c r="E70" s="82">
        <v>598</v>
      </c>
      <c r="F70" s="19">
        <v>870</v>
      </c>
      <c r="G70" s="82">
        <v>590</v>
      </c>
      <c r="H70" s="19">
        <v>908</v>
      </c>
      <c r="I70" s="82">
        <v>623</v>
      </c>
      <c r="J70" s="19">
        <v>883</v>
      </c>
      <c r="K70" s="82">
        <v>608</v>
      </c>
      <c r="L70" s="19">
        <v>816</v>
      </c>
      <c r="M70" s="82">
        <v>541</v>
      </c>
      <c r="N70" s="19">
        <v>875</v>
      </c>
      <c r="O70" s="82">
        <v>590</v>
      </c>
      <c r="P70" s="82"/>
      <c r="Q70" s="82"/>
      <c r="R70" s="19">
        <f t="shared" si="5"/>
        <v>5250</v>
      </c>
      <c r="S70" s="20">
        <f t="shared" si="6"/>
        <v>175</v>
      </c>
      <c r="T70" s="20">
        <f t="shared" si="6"/>
        <v>118.33333333333333</v>
      </c>
      <c r="U70" s="119">
        <f>(190-T70)*0.8</f>
        <v>57.33333333333334</v>
      </c>
    </row>
    <row r="71" spans="1:21" s="21" customFormat="1" ht="15.75" customHeight="1">
      <c r="A71" s="19">
        <f t="shared" si="4"/>
        <v>68</v>
      </c>
      <c r="B71" s="19" t="s">
        <v>170</v>
      </c>
      <c r="C71" s="19" t="s">
        <v>167</v>
      </c>
      <c r="D71" s="19">
        <v>980</v>
      </c>
      <c r="E71" s="82">
        <v>715</v>
      </c>
      <c r="F71" s="19">
        <v>887</v>
      </c>
      <c r="G71" s="82">
        <v>697</v>
      </c>
      <c r="H71" s="19">
        <v>837</v>
      </c>
      <c r="I71" s="82">
        <v>642</v>
      </c>
      <c r="J71" s="19">
        <v>825</v>
      </c>
      <c r="K71" s="82">
        <v>615</v>
      </c>
      <c r="L71" s="19">
        <v>836</v>
      </c>
      <c r="M71" s="82">
        <v>611</v>
      </c>
      <c r="N71" s="82">
        <v>904</v>
      </c>
      <c r="O71" s="82">
        <v>669</v>
      </c>
      <c r="P71" s="19">
        <v>847</v>
      </c>
      <c r="Q71" s="82">
        <v>612</v>
      </c>
      <c r="R71" s="19">
        <f t="shared" si="5"/>
        <v>6116</v>
      </c>
      <c r="S71" s="20">
        <f t="shared" si="6"/>
        <v>174.74285714285713</v>
      </c>
      <c r="T71" s="20">
        <f t="shared" si="6"/>
        <v>130.31428571428572</v>
      </c>
      <c r="U71" s="119">
        <f>(190-T71)*0.8</f>
        <v>47.74857142857143</v>
      </c>
    </row>
    <row r="72" spans="1:21" s="21" customFormat="1" ht="15.75" customHeight="1">
      <c r="A72" s="19">
        <f t="shared" si="4"/>
        <v>69</v>
      </c>
      <c r="B72" s="19" t="s">
        <v>58</v>
      </c>
      <c r="C72" s="19" t="s">
        <v>13</v>
      </c>
      <c r="D72" s="19">
        <v>855</v>
      </c>
      <c r="E72" s="82">
        <v>600</v>
      </c>
      <c r="F72" s="19">
        <v>857</v>
      </c>
      <c r="G72" s="82">
        <v>577</v>
      </c>
      <c r="H72" s="19">
        <v>953</v>
      </c>
      <c r="I72" s="82">
        <v>663</v>
      </c>
      <c r="J72" s="19">
        <v>857</v>
      </c>
      <c r="K72" s="82">
        <v>587</v>
      </c>
      <c r="L72" s="19">
        <v>857</v>
      </c>
      <c r="M72" s="82">
        <v>582</v>
      </c>
      <c r="N72" s="19">
        <v>863</v>
      </c>
      <c r="O72" s="82">
        <v>583</v>
      </c>
      <c r="P72" s="82"/>
      <c r="Q72" s="82"/>
      <c r="R72" s="19">
        <f t="shared" si="5"/>
        <v>5242</v>
      </c>
      <c r="S72" s="20">
        <f t="shared" si="6"/>
        <v>174.73333333333332</v>
      </c>
      <c r="T72" s="20">
        <f t="shared" si="6"/>
        <v>119.73333333333332</v>
      </c>
      <c r="U72" s="119">
        <f t="shared" si="0"/>
        <v>56.213333333333345</v>
      </c>
    </row>
    <row r="73" spans="1:21" s="21" customFormat="1" ht="15.75" customHeight="1">
      <c r="A73" s="19">
        <f t="shared" si="4"/>
        <v>70</v>
      </c>
      <c r="B73" s="19" t="s">
        <v>56</v>
      </c>
      <c r="C73" s="19" t="s">
        <v>13</v>
      </c>
      <c r="D73" s="19">
        <v>935</v>
      </c>
      <c r="E73" s="82">
        <v>690</v>
      </c>
      <c r="F73" s="19">
        <v>955</v>
      </c>
      <c r="G73" s="82">
        <v>745</v>
      </c>
      <c r="H73" s="19"/>
      <c r="I73" s="82"/>
      <c r="J73" s="19">
        <v>815</v>
      </c>
      <c r="K73" s="82">
        <v>630</v>
      </c>
      <c r="L73" s="19">
        <v>831</v>
      </c>
      <c r="M73" s="82">
        <v>621</v>
      </c>
      <c r="N73" s="19">
        <v>818</v>
      </c>
      <c r="O73" s="82">
        <v>593</v>
      </c>
      <c r="P73" s="82"/>
      <c r="Q73" s="82"/>
      <c r="R73" s="19">
        <f t="shared" si="5"/>
        <v>4354</v>
      </c>
      <c r="S73" s="20">
        <f t="shared" si="6"/>
        <v>174.16</v>
      </c>
      <c r="T73" s="20">
        <f t="shared" si="6"/>
        <v>131.16</v>
      </c>
      <c r="U73" s="119">
        <f t="shared" si="0"/>
        <v>47.072</v>
      </c>
    </row>
    <row r="74" spans="1:21" s="21" customFormat="1" ht="15.75" customHeight="1">
      <c r="A74" s="19">
        <f t="shared" si="4"/>
        <v>71</v>
      </c>
      <c r="B74" s="19" t="s">
        <v>283</v>
      </c>
      <c r="C74" s="19" t="s">
        <v>128</v>
      </c>
      <c r="D74" s="19"/>
      <c r="E74" s="82"/>
      <c r="F74" s="19">
        <v>881</v>
      </c>
      <c r="G74" s="82">
        <v>631</v>
      </c>
      <c r="H74" s="19">
        <v>896</v>
      </c>
      <c r="I74" s="82">
        <v>641</v>
      </c>
      <c r="J74" s="19">
        <v>898</v>
      </c>
      <c r="K74" s="82">
        <v>648</v>
      </c>
      <c r="L74" s="19">
        <v>859</v>
      </c>
      <c r="M74" s="82">
        <v>609</v>
      </c>
      <c r="N74" s="19">
        <v>820</v>
      </c>
      <c r="O74" s="82">
        <v>565</v>
      </c>
      <c r="P74" s="82"/>
      <c r="Q74" s="82"/>
      <c r="R74" s="19">
        <f t="shared" si="5"/>
        <v>4354</v>
      </c>
      <c r="S74" s="20">
        <f t="shared" si="6"/>
        <v>174.16</v>
      </c>
      <c r="T74" s="20">
        <f t="shared" si="6"/>
        <v>123.75999999999999</v>
      </c>
      <c r="U74" s="119">
        <f t="shared" si="0"/>
        <v>52.99200000000001</v>
      </c>
    </row>
    <row r="75" spans="1:21" s="21" customFormat="1" ht="15.75" customHeight="1">
      <c r="A75" s="19">
        <f t="shared" si="4"/>
        <v>72</v>
      </c>
      <c r="B75" s="19" t="s">
        <v>276</v>
      </c>
      <c r="C75" s="19" t="s">
        <v>15</v>
      </c>
      <c r="D75" s="19"/>
      <c r="E75" s="82"/>
      <c r="F75" s="19">
        <v>953</v>
      </c>
      <c r="G75" s="82">
        <v>743</v>
      </c>
      <c r="H75" s="19">
        <v>866</v>
      </c>
      <c r="I75" s="82">
        <v>701</v>
      </c>
      <c r="J75" s="19">
        <v>801</v>
      </c>
      <c r="K75" s="82">
        <v>621</v>
      </c>
      <c r="L75" s="19">
        <v>887</v>
      </c>
      <c r="M75" s="82">
        <v>677</v>
      </c>
      <c r="N75" s="19">
        <v>828</v>
      </c>
      <c r="O75" s="82">
        <v>618</v>
      </c>
      <c r="P75" s="82"/>
      <c r="Q75" s="82"/>
      <c r="R75" s="19">
        <f t="shared" si="5"/>
        <v>4335</v>
      </c>
      <c r="S75" s="20">
        <f t="shared" si="6"/>
        <v>173.4</v>
      </c>
      <c r="T75" s="20">
        <f t="shared" si="6"/>
        <v>134.4</v>
      </c>
      <c r="U75" s="119">
        <f>(190-T75)*0.8</f>
        <v>44.48</v>
      </c>
    </row>
    <row r="76" spans="1:21" s="21" customFormat="1" ht="15.75" customHeight="1">
      <c r="A76" s="19">
        <f t="shared" si="4"/>
        <v>73</v>
      </c>
      <c r="B76" s="19" t="s">
        <v>95</v>
      </c>
      <c r="C76" s="19" t="s">
        <v>80</v>
      </c>
      <c r="D76" s="19">
        <v>945</v>
      </c>
      <c r="E76" s="82">
        <v>645</v>
      </c>
      <c r="F76" s="19">
        <v>885</v>
      </c>
      <c r="G76" s="82">
        <v>640</v>
      </c>
      <c r="H76" s="19">
        <v>800</v>
      </c>
      <c r="I76" s="82">
        <v>555</v>
      </c>
      <c r="J76" s="19">
        <v>899</v>
      </c>
      <c r="K76" s="82">
        <v>629</v>
      </c>
      <c r="L76" s="19">
        <v>854</v>
      </c>
      <c r="M76" s="82">
        <v>589</v>
      </c>
      <c r="N76" s="19">
        <v>822</v>
      </c>
      <c r="O76" s="82">
        <v>552</v>
      </c>
      <c r="P76" s="82">
        <v>863</v>
      </c>
      <c r="Q76" s="82">
        <v>583</v>
      </c>
      <c r="R76" s="19">
        <f t="shared" si="5"/>
        <v>6068</v>
      </c>
      <c r="S76" s="20">
        <f t="shared" si="6"/>
        <v>173.37142857142857</v>
      </c>
      <c r="T76" s="20">
        <f t="shared" si="6"/>
        <v>119.8</v>
      </c>
      <c r="U76" s="119">
        <f t="shared" si="0"/>
        <v>56.160000000000004</v>
      </c>
    </row>
    <row r="77" spans="1:21" s="21" customFormat="1" ht="15.75" customHeight="1">
      <c r="A77" s="19">
        <f t="shared" si="4"/>
        <v>74</v>
      </c>
      <c r="B77" s="19" t="s">
        <v>144</v>
      </c>
      <c r="C77" s="19" t="s">
        <v>161</v>
      </c>
      <c r="D77" s="19">
        <v>945</v>
      </c>
      <c r="E77" s="82">
        <v>760</v>
      </c>
      <c r="F77" s="19">
        <v>859</v>
      </c>
      <c r="G77" s="82">
        <v>709</v>
      </c>
      <c r="H77" s="19">
        <v>832</v>
      </c>
      <c r="I77" s="82">
        <v>662</v>
      </c>
      <c r="J77" s="19">
        <v>822</v>
      </c>
      <c r="K77" s="82">
        <v>632</v>
      </c>
      <c r="L77" s="82">
        <v>903</v>
      </c>
      <c r="M77" s="82">
        <v>689</v>
      </c>
      <c r="N77" s="19">
        <v>840</v>
      </c>
      <c r="O77" s="82">
        <v>630</v>
      </c>
      <c r="P77" s="82"/>
      <c r="Q77" s="82"/>
      <c r="R77" s="19">
        <f t="shared" si="5"/>
        <v>5201</v>
      </c>
      <c r="S77" s="20">
        <f t="shared" si="6"/>
        <v>173.36666666666667</v>
      </c>
      <c r="T77" s="20">
        <f t="shared" si="6"/>
        <v>136.06666666666666</v>
      </c>
      <c r="U77" s="119">
        <f>(190-T77)*0.8</f>
        <v>43.146666666666675</v>
      </c>
    </row>
    <row r="78" spans="1:21" s="21" customFormat="1" ht="15.75" customHeight="1">
      <c r="A78" s="19">
        <f t="shared" si="4"/>
        <v>75</v>
      </c>
      <c r="B78" s="19" t="s">
        <v>121</v>
      </c>
      <c r="C78" s="19" t="s">
        <v>109</v>
      </c>
      <c r="D78" s="82">
        <v>792</v>
      </c>
      <c r="E78" s="82">
        <v>492</v>
      </c>
      <c r="F78" s="19">
        <v>850</v>
      </c>
      <c r="G78" s="82">
        <v>550</v>
      </c>
      <c r="H78" s="19">
        <v>949</v>
      </c>
      <c r="I78" s="82">
        <v>649</v>
      </c>
      <c r="J78" s="19">
        <v>961</v>
      </c>
      <c r="K78" s="82">
        <v>661</v>
      </c>
      <c r="L78" s="19">
        <v>845</v>
      </c>
      <c r="M78" s="82">
        <v>555</v>
      </c>
      <c r="N78" s="82">
        <v>797</v>
      </c>
      <c r="O78" s="82">
        <v>502</v>
      </c>
      <c r="P78" s="82"/>
      <c r="Q78" s="82"/>
      <c r="R78" s="19">
        <f t="shared" si="5"/>
        <v>5194</v>
      </c>
      <c r="S78" s="20">
        <f t="shared" si="6"/>
        <v>173.13333333333333</v>
      </c>
      <c r="T78" s="20">
        <f t="shared" si="6"/>
        <v>113.63333333333333</v>
      </c>
      <c r="U78" s="119">
        <v>60</v>
      </c>
    </row>
    <row r="79" spans="1:21" s="21" customFormat="1" ht="15.75" customHeight="1">
      <c r="A79" s="19">
        <f t="shared" si="4"/>
        <v>76</v>
      </c>
      <c r="B79" s="19" t="s">
        <v>261</v>
      </c>
      <c r="C79" s="19" t="s">
        <v>164</v>
      </c>
      <c r="D79" s="19"/>
      <c r="E79" s="82"/>
      <c r="F79" s="19">
        <v>983</v>
      </c>
      <c r="G79" s="82">
        <v>683</v>
      </c>
      <c r="H79" s="19">
        <v>837</v>
      </c>
      <c r="I79" s="82">
        <v>622</v>
      </c>
      <c r="J79" s="19">
        <v>925</v>
      </c>
      <c r="K79" s="82">
        <v>685</v>
      </c>
      <c r="L79" s="19">
        <v>805</v>
      </c>
      <c r="M79" s="82">
        <v>575</v>
      </c>
      <c r="N79" s="82">
        <v>778</v>
      </c>
      <c r="O79" s="82">
        <v>533</v>
      </c>
      <c r="P79" s="82"/>
      <c r="Q79" s="82"/>
      <c r="R79" s="19">
        <f t="shared" si="5"/>
        <v>4328</v>
      </c>
      <c r="S79" s="20">
        <f t="shared" si="6"/>
        <v>173.12</v>
      </c>
      <c r="T79" s="20">
        <f t="shared" si="6"/>
        <v>123.92</v>
      </c>
      <c r="U79" s="119">
        <f t="shared" si="0"/>
        <v>52.864000000000004</v>
      </c>
    </row>
    <row r="80" spans="1:21" s="21" customFormat="1" ht="15">
      <c r="A80" s="19">
        <f t="shared" si="4"/>
        <v>77</v>
      </c>
      <c r="B80" s="19" t="s">
        <v>118</v>
      </c>
      <c r="C80" s="19" t="s">
        <v>128</v>
      </c>
      <c r="D80" s="19">
        <v>957</v>
      </c>
      <c r="E80" s="82">
        <v>692</v>
      </c>
      <c r="F80" s="19">
        <v>810</v>
      </c>
      <c r="G80" s="82">
        <v>605</v>
      </c>
      <c r="H80" s="19">
        <v>922</v>
      </c>
      <c r="I80" s="82">
        <v>682</v>
      </c>
      <c r="J80" s="82">
        <v>766</v>
      </c>
      <c r="K80" s="82">
        <v>536</v>
      </c>
      <c r="L80" s="19">
        <v>808</v>
      </c>
      <c r="M80" s="82">
        <v>553</v>
      </c>
      <c r="N80" s="19">
        <v>882</v>
      </c>
      <c r="O80" s="82">
        <v>612</v>
      </c>
      <c r="P80" s="82"/>
      <c r="Q80" s="82"/>
      <c r="R80" s="19">
        <f t="shared" si="5"/>
        <v>5145</v>
      </c>
      <c r="S80" s="20">
        <f t="shared" si="6"/>
        <v>171.5</v>
      </c>
      <c r="T80" s="20">
        <f t="shared" si="6"/>
        <v>122.66666666666667</v>
      </c>
      <c r="U80" s="119">
        <f t="shared" si="0"/>
        <v>53.86666666666667</v>
      </c>
    </row>
    <row r="81" spans="1:21" s="21" customFormat="1" ht="15">
      <c r="A81" s="19">
        <f t="shared" si="4"/>
        <v>78</v>
      </c>
      <c r="B81" s="19" t="s">
        <v>272</v>
      </c>
      <c r="C81" s="19" t="s">
        <v>110</v>
      </c>
      <c r="D81" s="19"/>
      <c r="E81" s="82"/>
      <c r="F81" s="19">
        <v>878</v>
      </c>
      <c r="G81" s="82">
        <v>578</v>
      </c>
      <c r="H81" s="19">
        <v>864</v>
      </c>
      <c r="I81" s="82">
        <v>564</v>
      </c>
      <c r="J81" s="19">
        <v>833</v>
      </c>
      <c r="K81" s="82">
        <v>533</v>
      </c>
      <c r="L81" s="19">
        <v>849</v>
      </c>
      <c r="M81" s="82">
        <v>549</v>
      </c>
      <c r="N81" s="82"/>
      <c r="O81" s="82"/>
      <c r="P81" s="82"/>
      <c r="Q81" s="82"/>
      <c r="R81" s="19">
        <f t="shared" si="5"/>
        <v>3424</v>
      </c>
      <c r="S81" s="20">
        <f t="shared" si="6"/>
        <v>171.2</v>
      </c>
      <c r="T81" s="20">
        <f t="shared" si="6"/>
        <v>111.2</v>
      </c>
      <c r="U81" s="119">
        <v>60</v>
      </c>
    </row>
    <row r="82" spans="1:21" s="21" customFormat="1" ht="15">
      <c r="A82" s="19">
        <f t="shared" si="4"/>
        <v>79</v>
      </c>
      <c r="B82" s="19" t="s">
        <v>120</v>
      </c>
      <c r="C82" s="19" t="s">
        <v>109</v>
      </c>
      <c r="D82" s="19">
        <v>838</v>
      </c>
      <c r="E82" s="82">
        <v>538</v>
      </c>
      <c r="F82" s="19">
        <v>866</v>
      </c>
      <c r="G82" s="82">
        <v>566</v>
      </c>
      <c r="H82" s="19">
        <v>815</v>
      </c>
      <c r="I82" s="82">
        <v>515</v>
      </c>
      <c r="J82" s="19">
        <v>831</v>
      </c>
      <c r="K82" s="82">
        <v>531</v>
      </c>
      <c r="L82" s="19">
        <v>846</v>
      </c>
      <c r="M82" s="82">
        <v>546</v>
      </c>
      <c r="N82" s="82">
        <v>934</v>
      </c>
      <c r="O82" s="82">
        <v>634</v>
      </c>
      <c r="P82" s="82"/>
      <c r="Q82" s="82"/>
      <c r="R82" s="19">
        <f t="shared" si="5"/>
        <v>5130</v>
      </c>
      <c r="S82" s="20">
        <f t="shared" si="6"/>
        <v>171</v>
      </c>
      <c r="T82" s="20">
        <f t="shared" si="6"/>
        <v>111</v>
      </c>
      <c r="U82" s="119">
        <v>60</v>
      </c>
    </row>
    <row r="83" spans="1:21" s="21" customFormat="1" ht="15">
      <c r="A83" s="19">
        <f t="shared" si="4"/>
        <v>80</v>
      </c>
      <c r="B83" s="19" t="s">
        <v>156</v>
      </c>
      <c r="C83" s="19" t="s">
        <v>163</v>
      </c>
      <c r="D83" s="19">
        <v>805</v>
      </c>
      <c r="E83" s="82">
        <v>505</v>
      </c>
      <c r="F83" s="19">
        <v>886</v>
      </c>
      <c r="G83" s="82">
        <v>586</v>
      </c>
      <c r="H83" s="19">
        <v>875</v>
      </c>
      <c r="I83" s="82">
        <v>575</v>
      </c>
      <c r="J83" s="82">
        <v>786</v>
      </c>
      <c r="K83" s="82">
        <v>486</v>
      </c>
      <c r="L83" s="82"/>
      <c r="M83" s="82"/>
      <c r="N83" s="19">
        <v>845</v>
      </c>
      <c r="O83" s="82">
        <v>545</v>
      </c>
      <c r="P83" s="82"/>
      <c r="Q83" s="82"/>
      <c r="R83" s="19">
        <f t="shared" si="5"/>
        <v>4197</v>
      </c>
      <c r="S83" s="20">
        <f t="shared" si="6"/>
        <v>167.88</v>
      </c>
      <c r="T83" s="20">
        <f t="shared" si="6"/>
        <v>107.88</v>
      </c>
      <c r="U83" s="119">
        <v>60</v>
      </c>
    </row>
    <row r="84" spans="1:21" s="21" customFormat="1" ht="9" customHeight="1">
      <c r="A84" s="19" t="s">
        <v>31</v>
      </c>
      <c r="B84" s="19"/>
      <c r="C84" s="19"/>
      <c r="D84" s="19"/>
      <c r="E84" s="82"/>
      <c r="F84" s="19"/>
      <c r="G84" s="82"/>
      <c r="H84" s="19"/>
      <c r="I84" s="82"/>
      <c r="J84" s="19"/>
      <c r="K84" s="82"/>
      <c r="L84" s="82"/>
      <c r="M84" s="82"/>
      <c r="N84" s="82"/>
      <c r="O84" s="82"/>
      <c r="P84" s="82"/>
      <c r="Q84" s="82"/>
      <c r="R84" s="19"/>
      <c r="S84" s="20"/>
      <c r="T84" s="20"/>
      <c r="U84" s="119"/>
    </row>
    <row r="85" spans="1:21" s="21" customFormat="1" ht="15.75" customHeight="1">
      <c r="A85" s="19">
        <v>1</v>
      </c>
      <c r="B85" s="19" t="s">
        <v>297</v>
      </c>
      <c r="C85" s="19" t="s">
        <v>233</v>
      </c>
      <c r="D85" s="19"/>
      <c r="E85" s="82"/>
      <c r="F85" s="19"/>
      <c r="G85" s="82"/>
      <c r="H85" s="19">
        <v>1113</v>
      </c>
      <c r="I85" s="19">
        <v>813</v>
      </c>
      <c r="J85" s="19"/>
      <c r="K85" s="82"/>
      <c r="L85" s="82"/>
      <c r="M85" s="82"/>
      <c r="N85" s="82"/>
      <c r="O85" s="82"/>
      <c r="P85" s="82"/>
      <c r="Q85" s="82"/>
      <c r="R85" s="19">
        <f t="shared" si="5"/>
        <v>1113</v>
      </c>
      <c r="S85" s="20">
        <f t="shared" si="6"/>
        <v>222.6</v>
      </c>
      <c r="T85" s="20">
        <f t="shared" si="6"/>
        <v>162.6</v>
      </c>
      <c r="U85" s="119">
        <f aca="true" t="shared" si="7" ref="U85:U109">(190-T85)*0.8</f>
        <v>21.920000000000005</v>
      </c>
    </row>
    <row r="86" spans="1:21" s="21" customFormat="1" ht="15.75" customHeight="1">
      <c r="A86" s="19">
        <f>A4+1</f>
        <v>2</v>
      </c>
      <c r="B86" s="19" t="s">
        <v>340</v>
      </c>
      <c r="C86" s="19" t="s">
        <v>103</v>
      </c>
      <c r="D86" s="19"/>
      <c r="E86" s="82"/>
      <c r="F86" s="19"/>
      <c r="G86" s="82"/>
      <c r="H86" s="19"/>
      <c r="I86" s="82"/>
      <c r="J86" s="19"/>
      <c r="K86" s="82"/>
      <c r="L86" s="19">
        <v>1108</v>
      </c>
      <c r="M86" s="82">
        <v>808</v>
      </c>
      <c r="N86" s="82"/>
      <c r="O86" s="82"/>
      <c r="P86" s="82"/>
      <c r="Q86" s="82"/>
      <c r="R86" s="19">
        <f t="shared" si="5"/>
        <v>1108</v>
      </c>
      <c r="S86" s="20">
        <f t="shared" si="6"/>
        <v>221.6</v>
      </c>
      <c r="T86" s="20">
        <f t="shared" si="6"/>
        <v>161.6</v>
      </c>
      <c r="U86" s="119">
        <f t="shared" si="7"/>
        <v>22.720000000000006</v>
      </c>
    </row>
    <row r="87" spans="1:21" s="21" customFormat="1" ht="15.75" customHeight="1">
      <c r="A87" s="19">
        <f>A5+1</f>
        <v>3</v>
      </c>
      <c r="B87" s="19" t="s">
        <v>356</v>
      </c>
      <c r="C87" s="19" t="s">
        <v>222</v>
      </c>
      <c r="D87" s="19"/>
      <c r="E87" s="82"/>
      <c r="F87" s="19"/>
      <c r="G87" s="82"/>
      <c r="H87" s="19"/>
      <c r="I87" s="82"/>
      <c r="J87" s="19"/>
      <c r="K87" s="82"/>
      <c r="L87" s="82"/>
      <c r="M87" s="82"/>
      <c r="N87" s="82">
        <v>1037</v>
      </c>
      <c r="O87" s="82">
        <v>737</v>
      </c>
      <c r="P87" s="82"/>
      <c r="Q87" s="82"/>
      <c r="R87" s="19">
        <f t="shared" si="5"/>
        <v>1037</v>
      </c>
      <c r="S87" s="20">
        <f t="shared" si="6"/>
        <v>207.4</v>
      </c>
      <c r="T87" s="20">
        <f t="shared" si="6"/>
        <v>147.4</v>
      </c>
      <c r="U87" s="119">
        <f t="shared" si="7"/>
        <v>34.08</v>
      </c>
    </row>
    <row r="88" spans="1:21" s="21" customFormat="1" ht="15.75" customHeight="1">
      <c r="A88" s="19">
        <f>A6+1</f>
        <v>4</v>
      </c>
      <c r="B88" s="19" t="s">
        <v>341</v>
      </c>
      <c r="C88" s="19" t="s">
        <v>225</v>
      </c>
      <c r="D88" s="19"/>
      <c r="E88" s="82"/>
      <c r="F88" s="19"/>
      <c r="G88" s="82"/>
      <c r="H88" s="19"/>
      <c r="I88" s="82"/>
      <c r="J88" s="19"/>
      <c r="K88" s="82"/>
      <c r="L88" s="19">
        <v>1032</v>
      </c>
      <c r="M88" s="82">
        <v>732</v>
      </c>
      <c r="N88" s="82"/>
      <c r="O88" s="82"/>
      <c r="P88" s="82"/>
      <c r="Q88" s="82"/>
      <c r="R88" s="19">
        <f t="shared" si="5"/>
        <v>1032</v>
      </c>
      <c r="S88" s="20">
        <f t="shared" si="6"/>
        <v>206.4</v>
      </c>
      <c r="T88" s="20">
        <f t="shared" si="6"/>
        <v>146.4</v>
      </c>
      <c r="U88" s="119">
        <f t="shared" si="7"/>
        <v>34.879999999999995</v>
      </c>
    </row>
    <row r="89" spans="1:21" s="21" customFormat="1" ht="15.75" customHeight="1">
      <c r="A89" s="19">
        <f aca="true" t="shared" si="8" ref="A89:A121">A88+1</f>
        <v>5</v>
      </c>
      <c r="B89" s="19" t="s">
        <v>357</v>
      </c>
      <c r="C89" s="19" t="s">
        <v>225</v>
      </c>
      <c r="D89" s="19"/>
      <c r="E89" s="82"/>
      <c r="F89" s="19"/>
      <c r="G89" s="82"/>
      <c r="H89" s="19"/>
      <c r="I89" s="82"/>
      <c r="J89" s="19"/>
      <c r="K89" s="82"/>
      <c r="L89" s="82"/>
      <c r="M89" s="82"/>
      <c r="N89" s="82">
        <v>881</v>
      </c>
      <c r="O89" s="82">
        <v>581</v>
      </c>
      <c r="P89" s="82">
        <v>1124</v>
      </c>
      <c r="Q89" s="82">
        <v>829</v>
      </c>
      <c r="R89" s="19">
        <f t="shared" si="5"/>
        <v>2005</v>
      </c>
      <c r="S89" s="20">
        <f t="shared" si="6"/>
        <v>200.5</v>
      </c>
      <c r="T89" s="20">
        <f t="shared" si="6"/>
        <v>141</v>
      </c>
      <c r="U89" s="119">
        <f t="shared" si="7"/>
        <v>39.2</v>
      </c>
    </row>
    <row r="90" spans="1:21" s="21" customFormat="1" ht="15">
      <c r="A90" s="19">
        <f t="shared" si="8"/>
        <v>6</v>
      </c>
      <c r="B90" s="19" t="s">
        <v>346</v>
      </c>
      <c r="C90" s="19" t="s">
        <v>223</v>
      </c>
      <c r="D90" s="19"/>
      <c r="E90" s="82"/>
      <c r="F90" s="19"/>
      <c r="G90" s="82"/>
      <c r="H90" s="19"/>
      <c r="I90" s="82"/>
      <c r="J90" s="19"/>
      <c r="K90" s="82"/>
      <c r="L90" s="19"/>
      <c r="M90" s="82"/>
      <c r="N90" s="82">
        <v>1000</v>
      </c>
      <c r="O90" s="82">
        <v>700</v>
      </c>
      <c r="P90" s="82"/>
      <c r="Q90" s="82"/>
      <c r="R90" s="19">
        <f t="shared" si="5"/>
        <v>1000</v>
      </c>
      <c r="S90" s="20">
        <f t="shared" si="6"/>
        <v>200</v>
      </c>
      <c r="T90" s="20">
        <f t="shared" si="6"/>
        <v>140</v>
      </c>
      <c r="U90" s="119">
        <f t="shared" si="7"/>
        <v>40</v>
      </c>
    </row>
    <row r="91" spans="1:21" s="21" customFormat="1" ht="15.75" customHeight="1">
      <c r="A91" s="19">
        <f t="shared" si="8"/>
        <v>7</v>
      </c>
      <c r="B91" s="19" t="s">
        <v>311</v>
      </c>
      <c r="C91" s="19" t="s">
        <v>66</v>
      </c>
      <c r="D91" s="19"/>
      <c r="E91" s="82"/>
      <c r="F91" s="19"/>
      <c r="G91" s="82"/>
      <c r="H91" s="19">
        <v>977</v>
      </c>
      <c r="I91" s="82">
        <v>677</v>
      </c>
      <c r="J91" s="19"/>
      <c r="K91" s="82"/>
      <c r="L91" s="82"/>
      <c r="M91" s="82"/>
      <c r="N91" s="82"/>
      <c r="O91" s="82"/>
      <c r="P91" s="82"/>
      <c r="Q91" s="82"/>
      <c r="R91" s="19">
        <f t="shared" si="5"/>
        <v>977</v>
      </c>
      <c r="S91" s="20">
        <f t="shared" si="6"/>
        <v>195.4</v>
      </c>
      <c r="T91" s="20">
        <f t="shared" si="6"/>
        <v>135.4</v>
      </c>
      <c r="U91" s="119">
        <f t="shared" si="7"/>
        <v>43.68</v>
      </c>
    </row>
    <row r="92" spans="1:21" s="21" customFormat="1" ht="15.75" customHeight="1">
      <c r="A92" s="19">
        <f t="shared" si="8"/>
        <v>8</v>
      </c>
      <c r="B92" s="19" t="s">
        <v>146</v>
      </c>
      <c r="C92" s="19" t="s">
        <v>161</v>
      </c>
      <c r="D92" s="19">
        <v>898</v>
      </c>
      <c r="E92" s="82">
        <v>598</v>
      </c>
      <c r="F92" s="19">
        <v>1052</v>
      </c>
      <c r="G92" s="82">
        <v>772</v>
      </c>
      <c r="H92" s="19">
        <v>942</v>
      </c>
      <c r="I92" s="82">
        <v>732</v>
      </c>
      <c r="J92" s="19"/>
      <c r="K92" s="82"/>
      <c r="L92" s="82"/>
      <c r="M92" s="82"/>
      <c r="N92" s="82"/>
      <c r="O92" s="82"/>
      <c r="P92" s="82"/>
      <c r="Q92" s="82"/>
      <c r="R92" s="19">
        <f t="shared" si="5"/>
        <v>2892</v>
      </c>
      <c r="S92" s="20">
        <f t="shared" si="6"/>
        <v>192.8</v>
      </c>
      <c r="T92" s="20">
        <f t="shared" si="6"/>
        <v>140.13333333333333</v>
      </c>
      <c r="U92" s="119">
        <f t="shared" si="7"/>
        <v>39.893333333333345</v>
      </c>
    </row>
    <row r="93" spans="1:21" s="21" customFormat="1" ht="15.75" customHeight="1">
      <c r="A93" s="19">
        <f t="shared" si="8"/>
        <v>9</v>
      </c>
      <c r="B93" s="19" t="s">
        <v>345</v>
      </c>
      <c r="C93" s="19" t="s">
        <v>165</v>
      </c>
      <c r="D93" s="19"/>
      <c r="E93" s="82"/>
      <c r="F93" s="19"/>
      <c r="G93" s="82"/>
      <c r="H93" s="19"/>
      <c r="I93" s="82"/>
      <c r="J93" s="19"/>
      <c r="K93" s="82"/>
      <c r="L93" s="82"/>
      <c r="M93" s="82"/>
      <c r="N93" s="82">
        <v>958</v>
      </c>
      <c r="O93" s="82">
        <v>658</v>
      </c>
      <c r="P93" s="82"/>
      <c r="Q93" s="82"/>
      <c r="R93" s="19">
        <f t="shared" si="5"/>
        <v>958</v>
      </c>
      <c r="S93" s="20">
        <f t="shared" si="6"/>
        <v>191.6</v>
      </c>
      <c r="T93" s="20">
        <f t="shared" si="6"/>
        <v>131.6</v>
      </c>
      <c r="U93" s="119">
        <f t="shared" si="7"/>
        <v>46.720000000000006</v>
      </c>
    </row>
    <row r="94" spans="1:21" s="21" customFormat="1" ht="15.75" customHeight="1">
      <c r="A94" s="19">
        <f t="shared" si="8"/>
        <v>10</v>
      </c>
      <c r="B94" s="19" t="s">
        <v>343</v>
      </c>
      <c r="C94" s="19" t="s">
        <v>67</v>
      </c>
      <c r="D94" s="19"/>
      <c r="E94" s="82"/>
      <c r="F94" s="19"/>
      <c r="G94" s="82"/>
      <c r="H94" s="19"/>
      <c r="I94" s="82"/>
      <c r="J94" s="19"/>
      <c r="K94" s="82"/>
      <c r="L94" s="82"/>
      <c r="M94" s="82"/>
      <c r="N94" s="82">
        <v>955</v>
      </c>
      <c r="O94" s="82">
        <v>655</v>
      </c>
      <c r="P94" s="82"/>
      <c r="Q94" s="82"/>
      <c r="R94" s="19">
        <f t="shared" si="5"/>
        <v>955</v>
      </c>
      <c r="S94" s="20">
        <f t="shared" si="6"/>
        <v>191</v>
      </c>
      <c r="T94" s="20">
        <f t="shared" si="6"/>
        <v>131</v>
      </c>
      <c r="U94" s="119">
        <f t="shared" si="7"/>
        <v>47.2</v>
      </c>
    </row>
    <row r="95" spans="1:21" s="21" customFormat="1" ht="15.75" customHeight="1">
      <c r="A95" s="19">
        <f t="shared" si="8"/>
        <v>11</v>
      </c>
      <c r="B95" s="19" t="s">
        <v>354</v>
      </c>
      <c r="C95" s="19" t="s">
        <v>355</v>
      </c>
      <c r="D95" s="19"/>
      <c r="E95" s="82"/>
      <c r="F95" s="19"/>
      <c r="G95" s="82"/>
      <c r="H95" s="19"/>
      <c r="I95" s="82"/>
      <c r="J95" s="19"/>
      <c r="K95" s="82"/>
      <c r="L95" s="19"/>
      <c r="M95" s="82"/>
      <c r="N95" s="82">
        <v>955</v>
      </c>
      <c r="O95" s="82">
        <v>655</v>
      </c>
      <c r="P95" s="82"/>
      <c r="Q95" s="82"/>
      <c r="R95" s="19">
        <f t="shared" si="5"/>
        <v>955</v>
      </c>
      <c r="S95" s="20">
        <f t="shared" si="6"/>
        <v>191</v>
      </c>
      <c r="T95" s="20">
        <f t="shared" si="6"/>
        <v>131</v>
      </c>
      <c r="U95" s="119">
        <f t="shared" si="7"/>
        <v>47.2</v>
      </c>
    </row>
    <row r="96" spans="1:21" s="21" customFormat="1" ht="15.75" customHeight="1">
      <c r="A96" s="19">
        <f t="shared" si="8"/>
        <v>12</v>
      </c>
      <c r="B96" s="19" t="s">
        <v>116</v>
      </c>
      <c r="C96" s="19" t="s">
        <v>132</v>
      </c>
      <c r="D96" s="19">
        <v>952</v>
      </c>
      <c r="E96" s="82">
        <v>652</v>
      </c>
      <c r="F96" s="19"/>
      <c r="G96" s="82"/>
      <c r="H96" s="19"/>
      <c r="I96" s="82"/>
      <c r="J96" s="19"/>
      <c r="K96" s="82"/>
      <c r="L96" s="82"/>
      <c r="M96" s="82"/>
      <c r="N96" s="82"/>
      <c r="O96" s="82"/>
      <c r="P96" s="82"/>
      <c r="Q96" s="82"/>
      <c r="R96" s="19">
        <f t="shared" si="5"/>
        <v>952</v>
      </c>
      <c r="S96" s="20">
        <f t="shared" si="6"/>
        <v>190.4</v>
      </c>
      <c r="T96" s="20">
        <f t="shared" si="6"/>
        <v>130.4</v>
      </c>
      <c r="U96" s="119">
        <f t="shared" si="7"/>
        <v>47.68</v>
      </c>
    </row>
    <row r="97" spans="1:21" s="21" customFormat="1" ht="15.75" customHeight="1">
      <c r="A97" s="19">
        <f t="shared" si="8"/>
        <v>13</v>
      </c>
      <c r="B97" s="19" t="s">
        <v>277</v>
      </c>
      <c r="C97" s="19" t="s">
        <v>193</v>
      </c>
      <c r="D97" s="19"/>
      <c r="E97" s="82"/>
      <c r="F97" s="19">
        <v>1060</v>
      </c>
      <c r="G97" s="82">
        <v>760</v>
      </c>
      <c r="H97" s="19"/>
      <c r="I97" s="82"/>
      <c r="J97" s="19">
        <v>823</v>
      </c>
      <c r="K97" s="82">
        <v>673</v>
      </c>
      <c r="L97" s="82"/>
      <c r="M97" s="82"/>
      <c r="N97" s="82"/>
      <c r="O97" s="82"/>
      <c r="P97" s="82"/>
      <c r="Q97" s="82"/>
      <c r="R97" s="19">
        <f t="shared" si="5"/>
        <v>1883</v>
      </c>
      <c r="S97" s="20">
        <f t="shared" si="6"/>
        <v>188.3</v>
      </c>
      <c r="T97" s="20">
        <f t="shared" si="6"/>
        <v>143.3</v>
      </c>
      <c r="U97" s="119">
        <f t="shared" si="7"/>
        <v>37.35999999999999</v>
      </c>
    </row>
    <row r="98" spans="1:21" s="21" customFormat="1" ht="15.75" customHeight="1">
      <c r="A98" s="19">
        <f t="shared" si="8"/>
        <v>14</v>
      </c>
      <c r="B98" s="19" t="s">
        <v>307</v>
      </c>
      <c r="C98" s="19" t="s">
        <v>101</v>
      </c>
      <c r="D98" s="19"/>
      <c r="E98" s="82"/>
      <c r="F98" s="19"/>
      <c r="G98" s="82"/>
      <c r="H98" s="19">
        <v>910</v>
      </c>
      <c r="I98" s="82">
        <v>768</v>
      </c>
      <c r="J98" s="19"/>
      <c r="K98" s="82"/>
      <c r="L98" s="82"/>
      <c r="M98" s="82"/>
      <c r="N98" s="82">
        <v>1027</v>
      </c>
      <c r="O98" s="19">
        <v>882</v>
      </c>
      <c r="P98" s="19">
        <v>860</v>
      </c>
      <c r="Q98" s="82">
        <v>760</v>
      </c>
      <c r="R98" s="19">
        <f t="shared" si="5"/>
        <v>2797</v>
      </c>
      <c r="S98" s="20">
        <f t="shared" si="6"/>
        <v>186.46666666666667</v>
      </c>
      <c r="T98" s="20">
        <f t="shared" si="6"/>
        <v>160.66666666666669</v>
      </c>
      <c r="U98" s="119">
        <f t="shared" si="7"/>
        <v>23.466666666666654</v>
      </c>
    </row>
    <row r="99" spans="1:21" s="21" customFormat="1" ht="15.75" customHeight="1">
      <c r="A99" s="19">
        <f t="shared" si="8"/>
        <v>15</v>
      </c>
      <c r="B99" s="19" t="s">
        <v>208</v>
      </c>
      <c r="C99" s="19" t="s">
        <v>226</v>
      </c>
      <c r="D99" s="19">
        <v>974</v>
      </c>
      <c r="E99" s="82">
        <v>779</v>
      </c>
      <c r="F99" s="19"/>
      <c r="G99" s="82"/>
      <c r="H99" s="19"/>
      <c r="I99" s="82"/>
      <c r="J99" s="19"/>
      <c r="K99" s="82"/>
      <c r="L99" s="19">
        <v>872</v>
      </c>
      <c r="M99" s="82">
        <v>737</v>
      </c>
      <c r="N99" s="82"/>
      <c r="O99" s="82"/>
      <c r="P99" s="82"/>
      <c r="Q99" s="82"/>
      <c r="R99" s="19">
        <f t="shared" si="5"/>
        <v>1846</v>
      </c>
      <c r="S99" s="20">
        <f t="shared" si="6"/>
        <v>184.6</v>
      </c>
      <c r="T99" s="20">
        <f t="shared" si="6"/>
        <v>151.6</v>
      </c>
      <c r="U99" s="119">
        <f t="shared" si="7"/>
        <v>30.720000000000006</v>
      </c>
    </row>
    <row r="100" spans="1:21" s="21" customFormat="1" ht="15.75" customHeight="1">
      <c r="A100" s="19">
        <f t="shared" si="8"/>
        <v>16</v>
      </c>
      <c r="B100" s="19" t="s">
        <v>286</v>
      </c>
      <c r="C100" s="19" t="s">
        <v>102</v>
      </c>
      <c r="D100" s="19"/>
      <c r="E100" s="82"/>
      <c r="F100" s="19">
        <v>918</v>
      </c>
      <c r="G100" s="82">
        <v>758</v>
      </c>
      <c r="H100" s="19"/>
      <c r="I100" s="82"/>
      <c r="J100" s="19"/>
      <c r="K100" s="82"/>
      <c r="L100" s="82"/>
      <c r="M100" s="82"/>
      <c r="N100" s="82">
        <v>914</v>
      </c>
      <c r="O100" s="82">
        <v>759</v>
      </c>
      <c r="P100" s="82"/>
      <c r="Q100" s="82"/>
      <c r="R100" s="19">
        <f t="shared" si="5"/>
        <v>1832</v>
      </c>
      <c r="S100" s="20">
        <f t="shared" si="6"/>
        <v>183.2</v>
      </c>
      <c r="T100" s="20">
        <f t="shared" si="6"/>
        <v>151.7</v>
      </c>
      <c r="U100" s="119">
        <f t="shared" si="7"/>
        <v>30.64000000000001</v>
      </c>
    </row>
    <row r="101" spans="1:21" s="21" customFormat="1" ht="15">
      <c r="A101" s="19">
        <f t="shared" si="8"/>
        <v>17</v>
      </c>
      <c r="B101" s="19" t="s">
        <v>342</v>
      </c>
      <c r="C101" s="19" t="s">
        <v>163</v>
      </c>
      <c r="D101" s="19"/>
      <c r="E101" s="82"/>
      <c r="F101" s="19"/>
      <c r="G101" s="82"/>
      <c r="H101" s="19"/>
      <c r="I101" s="82"/>
      <c r="J101" s="19"/>
      <c r="K101" s="82"/>
      <c r="L101" s="19">
        <v>814</v>
      </c>
      <c r="M101" s="82">
        <v>514</v>
      </c>
      <c r="N101" s="82"/>
      <c r="O101" s="82"/>
      <c r="P101" s="82">
        <v>974</v>
      </c>
      <c r="Q101" s="82">
        <v>674</v>
      </c>
      <c r="R101" s="19">
        <f t="shared" si="5"/>
        <v>1788</v>
      </c>
      <c r="S101" s="20">
        <f t="shared" si="6"/>
        <v>178.8</v>
      </c>
      <c r="T101" s="20">
        <f t="shared" si="6"/>
        <v>118.8</v>
      </c>
      <c r="U101" s="119">
        <v>60</v>
      </c>
    </row>
    <row r="102" spans="1:21" s="21" customFormat="1" ht="15">
      <c r="A102" s="19">
        <f t="shared" si="8"/>
        <v>18</v>
      </c>
      <c r="B102" s="19" t="s">
        <v>334</v>
      </c>
      <c r="C102" s="19" t="s">
        <v>227</v>
      </c>
      <c r="D102" s="19"/>
      <c r="E102" s="82"/>
      <c r="F102" s="19"/>
      <c r="G102" s="82"/>
      <c r="H102" s="19"/>
      <c r="I102" s="82"/>
      <c r="J102" s="19"/>
      <c r="K102" s="82"/>
      <c r="L102" s="82">
        <v>951</v>
      </c>
      <c r="M102" s="19">
        <v>821</v>
      </c>
      <c r="N102" s="19">
        <v>855</v>
      </c>
      <c r="O102" s="82">
        <v>750</v>
      </c>
      <c r="P102" s="19">
        <v>869</v>
      </c>
      <c r="Q102" s="82">
        <v>739</v>
      </c>
      <c r="R102" s="19">
        <f t="shared" si="5"/>
        <v>2675</v>
      </c>
      <c r="S102" s="20">
        <f t="shared" si="6"/>
        <v>178.33333333333331</v>
      </c>
      <c r="T102" s="20">
        <f t="shared" si="6"/>
        <v>154</v>
      </c>
      <c r="U102" s="119">
        <f t="shared" si="7"/>
        <v>28.8</v>
      </c>
    </row>
    <row r="103" spans="1:21" s="21" customFormat="1" ht="15.75" customHeight="1">
      <c r="A103" s="19">
        <f t="shared" si="8"/>
        <v>19</v>
      </c>
      <c r="B103" s="19" t="s">
        <v>183</v>
      </c>
      <c r="C103" s="19" t="s">
        <v>171</v>
      </c>
      <c r="D103" s="19">
        <v>900</v>
      </c>
      <c r="E103" s="82">
        <v>600</v>
      </c>
      <c r="F103" s="19">
        <v>888</v>
      </c>
      <c r="G103" s="82">
        <v>608</v>
      </c>
      <c r="H103" s="19">
        <v>879</v>
      </c>
      <c r="I103" s="82">
        <v>649</v>
      </c>
      <c r="J103" s="19"/>
      <c r="K103" s="82"/>
      <c r="L103" s="82"/>
      <c r="M103" s="82"/>
      <c r="N103" s="82"/>
      <c r="O103" s="82"/>
      <c r="P103" s="82"/>
      <c r="Q103" s="82"/>
      <c r="R103" s="19">
        <f t="shared" si="5"/>
        <v>2667</v>
      </c>
      <c r="S103" s="20">
        <f t="shared" si="6"/>
        <v>177.8</v>
      </c>
      <c r="T103" s="20">
        <f t="shared" si="6"/>
        <v>123.8</v>
      </c>
      <c r="U103" s="119">
        <f>(190-T103)*0.8</f>
        <v>52.96000000000001</v>
      </c>
    </row>
    <row r="104" spans="1:21" s="21" customFormat="1" ht="15.75" customHeight="1">
      <c r="A104" s="19">
        <f t="shared" si="8"/>
        <v>20</v>
      </c>
      <c r="B104" s="19" t="s">
        <v>228</v>
      </c>
      <c r="C104" s="19" t="s">
        <v>128</v>
      </c>
      <c r="D104" s="19">
        <v>889</v>
      </c>
      <c r="E104" s="82">
        <v>589</v>
      </c>
      <c r="F104" s="19"/>
      <c r="G104" s="82"/>
      <c r="H104" s="19"/>
      <c r="I104" s="82"/>
      <c r="J104" s="19"/>
      <c r="K104" s="82"/>
      <c r="L104" s="82"/>
      <c r="M104" s="82"/>
      <c r="N104" s="82"/>
      <c r="O104" s="82"/>
      <c r="P104" s="82"/>
      <c r="Q104" s="82"/>
      <c r="R104" s="19">
        <f t="shared" si="5"/>
        <v>889</v>
      </c>
      <c r="S104" s="20">
        <f t="shared" si="6"/>
        <v>177.8</v>
      </c>
      <c r="T104" s="20">
        <f t="shared" si="6"/>
        <v>117.8</v>
      </c>
      <c r="U104" s="119">
        <f t="shared" si="7"/>
        <v>57.760000000000005</v>
      </c>
    </row>
    <row r="105" spans="1:21" s="21" customFormat="1" ht="15">
      <c r="A105" s="19">
        <f t="shared" si="8"/>
        <v>21</v>
      </c>
      <c r="B105" s="19" t="s">
        <v>168</v>
      </c>
      <c r="C105" s="19" t="s">
        <v>167</v>
      </c>
      <c r="D105" s="19">
        <v>1003</v>
      </c>
      <c r="E105" s="82">
        <v>703</v>
      </c>
      <c r="F105" s="19"/>
      <c r="G105" s="82"/>
      <c r="H105" s="19">
        <v>847</v>
      </c>
      <c r="I105" s="82">
        <v>647</v>
      </c>
      <c r="J105" s="19"/>
      <c r="K105" s="82"/>
      <c r="L105" s="82">
        <v>744</v>
      </c>
      <c r="M105" s="82">
        <v>524</v>
      </c>
      <c r="N105" s="82"/>
      <c r="O105" s="82"/>
      <c r="P105" s="82">
        <v>947</v>
      </c>
      <c r="Q105" s="82">
        <v>687</v>
      </c>
      <c r="R105" s="19">
        <f t="shared" si="5"/>
        <v>3541</v>
      </c>
      <c r="S105" s="20">
        <f t="shared" si="6"/>
        <v>177.05</v>
      </c>
      <c r="T105" s="20">
        <f t="shared" si="6"/>
        <v>128.05</v>
      </c>
      <c r="U105" s="119">
        <f>(190-T105)*0.8</f>
        <v>49.559999999999995</v>
      </c>
    </row>
    <row r="106" spans="1:21" s="21" customFormat="1" ht="15.75" customHeight="1">
      <c r="A106" s="19">
        <f t="shared" si="8"/>
        <v>22</v>
      </c>
      <c r="B106" s="19" t="s">
        <v>194</v>
      </c>
      <c r="C106" s="19" t="s">
        <v>173</v>
      </c>
      <c r="D106" s="19">
        <v>962</v>
      </c>
      <c r="E106" s="82">
        <v>732</v>
      </c>
      <c r="F106" s="19"/>
      <c r="G106" s="82"/>
      <c r="H106" s="19"/>
      <c r="I106" s="82"/>
      <c r="J106" s="19">
        <v>828</v>
      </c>
      <c r="K106" s="82">
        <v>653</v>
      </c>
      <c r="L106" s="82"/>
      <c r="M106" s="82"/>
      <c r="N106" s="82"/>
      <c r="O106" s="82"/>
      <c r="P106" s="19">
        <v>863</v>
      </c>
      <c r="Q106" s="82">
        <v>658</v>
      </c>
      <c r="R106" s="19">
        <f t="shared" si="5"/>
        <v>2653</v>
      </c>
      <c r="S106" s="20">
        <f t="shared" si="6"/>
        <v>176.86666666666667</v>
      </c>
      <c r="T106" s="20">
        <f t="shared" si="6"/>
        <v>136.2</v>
      </c>
      <c r="U106" s="119">
        <f t="shared" si="7"/>
        <v>43.04000000000001</v>
      </c>
    </row>
    <row r="107" spans="1:21" s="21" customFormat="1" ht="15.75" customHeight="1">
      <c r="A107" s="19">
        <f t="shared" si="8"/>
        <v>23</v>
      </c>
      <c r="B107" s="19" t="s">
        <v>285</v>
      </c>
      <c r="C107" s="19" t="s">
        <v>167</v>
      </c>
      <c r="D107" s="19"/>
      <c r="E107" s="82"/>
      <c r="F107" s="19">
        <v>974</v>
      </c>
      <c r="G107" s="82">
        <v>674</v>
      </c>
      <c r="H107" s="19"/>
      <c r="I107" s="82"/>
      <c r="J107" s="19">
        <v>810</v>
      </c>
      <c r="K107" s="82">
        <v>590</v>
      </c>
      <c r="L107" s="82"/>
      <c r="M107" s="82"/>
      <c r="N107" s="19">
        <v>864</v>
      </c>
      <c r="O107" s="82">
        <v>609</v>
      </c>
      <c r="P107" s="82"/>
      <c r="Q107" s="82"/>
      <c r="R107" s="19">
        <f t="shared" si="5"/>
        <v>2648</v>
      </c>
      <c r="S107" s="20">
        <f t="shared" si="6"/>
        <v>176.53333333333333</v>
      </c>
      <c r="T107" s="20">
        <f t="shared" si="6"/>
        <v>124.86666666666667</v>
      </c>
      <c r="U107" s="119">
        <f t="shared" si="7"/>
        <v>52.10666666666666</v>
      </c>
    </row>
    <row r="108" spans="1:21" s="21" customFormat="1" ht="15.75" customHeight="1">
      <c r="A108" s="19">
        <f t="shared" si="8"/>
        <v>24</v>
      </c>
      <c r="B108" s="19" t="s">
        <v>325</v>
      </c>
      <c r="C108" s="19" t="s">
        <v>161</v>
      </c>
      <c r="D108" s="19"/>
      <c r="E108" s="82"/>
      <c r="F108" s="19"/>
      <c r="G108" s="82"/>
      <c r="H108" s="19"/>
      <c r="I108" s="82"/>
      <c r="J108" s="19">
        <v>865</v>
      </c>
      <c r="K108" s="82">
        <v>675</v>
      </c>
      <c r="L108" s="19">
        <v>858</v>
      </c>
      <c r="M108" s="82">
        <v>638</v>
      </c>
      <c r="N108" s="82">
        <v>921</v>
      </c>
      <c r="O108" s="82">
        <v>686</v>
      </c>
      <c r="P108" s="82"/>
      <c r="Q108" s="82"/>
      <c r="R108" s="19">
        <f t="shared" si="5"/>
        <v>2644</v>
      </c>
      <c r="S108" s="20">
        <f t="shared" si="6"/>
        <v>176.26666666666668</v>
      </c>
      <c r="T108" s="20">
        <f t="shared" si="6"/>
        <v>133.26666666666668</v>
      </c>
      <c r="U108" s="119">
        <f>(190-T108)*0.8</f>
        <v>45.386666666666656</v>
      </c>
    </row>
    <row r="109" spans="1:21" s="21" customFormat="1" ht="15.75" customHeight="1">
      <c r="A109" s="19">
        <f t="shared" si="8"/>
        <v>25</v>
      </c>
      <c r="B109" s="19" t="s">
        <v>239</v>
      </c>
      <c r="C109" s="19" t="s">
        <v>237</v>
      </c>
      <c r="D109" s="19">
        <v>805</v>
      </c>
      <c r="E109" s="82">
        <v>505</v>
      </c>
      <c r="F109" s="19"/>
      <c r="G109" s="82"/>
      <c r="H109" s="19">
        <v>957</v>
      </c>
      <c r="I109" s="82">
        <v>657</v>
      </c>
      <c r="J109" s="19"/>
      <c r="K109" s="82"/>
      <c r="L109" s="82"/>
      <c r="M109" s="82"/>
      <c r="N109" s="82"/>
      <c r="O109" s="82"/>
      <c r="P109" s="82"/>
      <c r="Q109" s="82"/>
      <c r="R109" s="19">
        <f t="shared" si="5"/>
        <v>1762</v>
      </c>
      <c r="S109" s="20">
        <f t="shared" si="6"/>
        <v>176.2</v>
      </c>
      <c r="T109" s="20">
        <f t="shared" si="6"/>
        <v>116.2</v>
      </c>
      <c r="U109" s="119">
        <f t="shared" si="7"/>
        <v>59.04</v>
      </c>
    </row>
    <row r="110" spans="1:21" s="21" customFormat="1" ht="15.75" customHeight="1">
      <c r="A110" s="19">
        <f t="shared" si="8"/>
        <v>26</v>
      </c>
      <c r="B110" s="19" t="s">
        <v>243</v>
      </c>
      <c r="C110" s="19" t="s">
        <v>241</v>
      </c>
      <c r="D110" s="19">
        <v>871</v>
      </c>
      <c r="E110" s="82">
        <v>571</v>
      </c>
      <c r="F110" s="19"/>
      <c r="G110" s="82"/>
      <c r="H110" s="19"/>
      <c r="I110" s="82"/>
      <c r="J110" s="19"/>
      <c r="K110" s="82"/>
      <c r="L110" s="82"/>
      <c r="M110" s="82"/>
      <c r="N110" s="82"/>
      <c r="O110" s="82"/>
      <c r="P110" s="82"/>
      <c r="Q110" s="82"/>
      <c r="R110" s="19">
        <f t="shared" si="5"/>
        <v>871</v>
      </c>
      <c r="S110" s="20">
        <f t="shared" si="6"/>
        <v>174.2</v>
      </c>
      <c r="T110" s="20">
        <f t="shared" si="6"/>
        <v>114.2</v>
      </c>
      <c r="U110" s="119">
        <v>60</v>
      </c>
    </row>
    <row r="111" spans="1:21" s="21" customFormat="1" ht="15.75" customHeight="1">
      <c r="A111" s="19">
        <f t="shared" si="8"/>
        <v>27</v>
      </c>
      <c r="B111" s="19" t="s">
        <v>322</v>
      </c>
      <c r="C111" s="19" t="s">
        <v>171</v>
      </c>
      <c r="D111" s="19"/>
      <c r="E111" s="82"/>
      <c r="F111" s="19"/>
      <c r="G111" s="82"/>
      <c r="H111" s="19"/>
      <c r="I111" s="82"/>
      <c r="J111" s="19">
        <v>842</v>
      </c>
      <c r="K111" s="82">
        <v>542</v>
      </c>
      <c r="L111" s="19">
        <v>840</v>
      </c>
      <c r="M111" s="82">
        <v>540</v>
      </c>
      <c r="N111" s="82">
        <v>922</v>
      </c>
      <c r="O111" s="82">
        <v>622</v>
      </c>
      <c r="P111" s="82"/>
      <c r="Q111" s="82"/>
      <c r="R111" s="19">
        <f t="shared" si="5"/>
        <v>2604</v>
      </c>
      <c r="S111" s="20">
        <f t="shared" si="6"/>
        <v>173.6</v>
      </c>
      <c r="T111" s="20">
        <f t="shared" si="6"/>
        <v>113.6</v>
      </c>
      <c r="U111" s="119">
        <v>60</v>
      </c>
    </row>
    <row r="112" spans="1:21" s="21" customFormat="1" ht="15.75" customHeight="1">
      <c r="A112" s="19">
        <f t="shared" si="8"/>
        <v>28</v>
      </c>
      <c r="B112" s="19" t="s">
        <v>304</v>
      </c>
      <c r="C112" s="19" t="s">
        <v>80</v>
      </c>
      <c r="D112" s="19"/>
      <c r="E112" s="82"/>
      <c r="F112" s="19"/>
      <c r="G112" s="82"/>
      <c r="H112" s="19">
        <v>865</v>
      </c>
      <c r="I112" s="82">
        <v>565</v>
      </c>
      <c r="J112" s="19"/>
      <c r="K112" s="82"/>
      <c r="L112" s="82"/>
      <c r="M112" s="82"/>
      <c r="N112" s="82"/>
      <c r="O112" s="82"/>
      <c r="P112" s="82"/>
      <c r="Q112" s="82"/>
      <c r="R112" s="19">
        <f t="shared" si="5"/>
        <v>865</v>
      </c>
      <c r="S112" s="20">
        <f t="shared" si="6"/>
        <v>173</v>
      </c>
      <c r="T112" s="20">
        <f t="shared" si="6"/>
        <v>113</v>
      </c>
      <c r="U112" s="119">
        <v>60</v>
      </c>
    </row>
    <row r="113" spans="1:21" s="21" customFormat="1" ht="15.75" customHeight="1">
      <c r="A113" s="19">
        <f t="shared" si="8"/>
        <v>29</v>
      </c>
      <c r="B113" s="19" t="s">
        <v>47</v>
      </c>
      <c r="C113" s="19" t="s">
        <v>15</v>
      </c>
      <c r="D113" s="19">
        <v>861</v>
      </c>
      <c r="E113" s="82">
        <v>561</v>
      </c>
      <c r="F113" s="19"/>
      <c r="G113" s="82"/>
      <c r="H113" s="19"/>
      <c r="I113" s="82"/>
      <c r="J113" s="19"/>
      <c r="K113" s="82"/>
      <c r="L113" s="82"/>
      <c r="M113" s="82"/>
      <c r="N113" s="82"/>
      <c r="O113" s="82"/>
      <c r="P113" s="82"/>
      <c r="Q113" s="82"/>
      <c r="R113" s="19">
        <f t="shared" si="5"/>
        <v>861</v>
      </c>
      <c r="S113" s="20">
        <f t="shared" si="6"/>
        <v>172.2</v>
      </c>
      <c r="T113" s="20">
        <f t="shared" si="6"/>
        <v>112.2</v>
      </c>
      <c r="U113" s="119">
        <v>60</v>
      </c>
    </row>
    <row r="114" spans="1:21" s="21" customFormat="1" ht="15.75" customHeight="1">
      <c r="A114" s="19">
        <f t="shared" si="8"/>
        <v>30</v>
      </c>
      <c r="B114" s="19" t="s">
        <v>244</v>
      </c>
      <c r="C114" s="19" t="s">
        <v>241</v>
      </c>
      <c r="D114" s="19">
        <v>841</v>
      </c>
      <c r="E114" s="82">
        <v>541</v>
      </c>
      <c r="F114" s="19"/>
      <c r="G114" s="82"/>
      <c r="H114" s="19"/>
      <c r="I114" s="82"/>
      <c r="J114" s="19">
        <v>873</v>
      </c>
      <c r="K114" s="82">
        <v>573</v>
      </c>
      <c r="L114" s="82"/>
      <c r="M114" s="82"/>
      <c r="N114" s="19">
        <v>857</v>
      </c>
      <c r="O114" s="82">
        <v>557</v>
      </c>
      <c r="P114" s="82"/>
      <c r="Q114" s="82"/>
      <c r="R114" s="19">
        <f t="shared" si="5"/>
        <v>2571</v>
      </c>
      <c r="S114" s="20">
        <f t="shared" si="6"/>
        <v>171.4</v>
      </c>
      <c r="T114" s="20">
        <f t="shared" si="6"/>
        <v>111.4</v>
      </c>
      <c r="U114" s="119">
        <v>60</v>
      </c>
    </row>
    <row r="115" spans="1:21" s="21" customFormat="1" ht="15">
      <c r="A115" s="19">
        <f t="shared" si="8"/>
        <v>31</v>
      </c>
      <c r="B115" s="19" t="s">
        <v>319</v>
      </c>
      <c r="C115" s="19" t="s">
        <v>237</v>
      </c>
      <c r="D115" s="19"/>
      <c r="E115" s="82"/>
      <c r="F115" s="19"/>
      <c r="G115" s="82"/>
      <c r="H115" s="19"/>
      <c r="I115" s="82"/>
      <c r="J115" s="19">
        <v>852</v>
      </c>
      <c r="K115" s="82">
        <v>672</v>
      </c>
      <c r="L115" s="82"/>
      <c r="M115" s="82"/>
      <c r="N115" s="19">
        <v>844</v>
      </c>
      <c r="O115" s="82">
        <v>624</v>
      </c>
      <c r="P115" s="82"/>
      <c r="Q115" s="82"/>
      <c r="R115" s="19">
        <f t="shared" si="5"/>
        <v>1696</v>
      </c>
      <c r="S115" s="20">
        <f t="shared" si="6"/>
        <v>169.6</v>
      </c>
      <c r="T115" s="20">
        <f t="shared" si="6"/>
        <v>129.6</v>
      </c>
      <c r="U115" s="119">
        <f>(190-T115)*0.8</f>
        <v>48.32000000000001</v>
      </c>
    </row>
    <row r="116" spans="1:21" s="21" customFormat="1" ht="15">
      <c r="A116" s="19">
        <f t="shared" si="8"/>
        <v>32</v>
      </c>
      <c r="B116" s="19" t="s">
        <v>263</v>
      </c>
      <c r="C116" s="19" t="s">
        <v>67</v>
      </c>
      <c r="D116" s="19"/>
      <c r="E116" s="82"/>
      <c r="F116" s="19">
        <v>836</v>
      </c>
      <c r="G116" s="82">
        <v>536</v>
      </c>
      <c r="H116" s="19"/>
      <c r="I116" s="82"/>
      <c r="J116" s="19"/>
      <c r="K116" s="82"/>
      <c r="L116" s="82"/>
      <c r="M116" s="82"/>
      <c r="N116" s="82"/>
      <c r="O116" s="82"/>
      <c r="P116" s="82"/>
      <c r="Q116" s="82"/>
      <c r="R116" s="19">
        <f t="shared" si="5"/>
        <v>836</v>
      </c>
      <c r="S116" s="20">
        <f t="shared" si="6"/>
        <v>167.2</v>
      </c>
      <c r="T116" s="20">
        <f t="shared" si="6"/>
        <v>107.2</v>
      </c>
      <c r="U116" s="119">
        <v>60</v>
      </c>
    </row>
    <row r="117" spans="1:21" s="21" customFormat="1" ht="15">
      <c r="A117" s="19">
        <f t="shared" si="8"/>
        <v>33</v>
      </c>
      <c r="B117" s="19" t="s">
        <v>302</v>
      </c>
      <c r="C117" s="19" t="s">
        <v>13</v>
      </c>
      <c r="D117" s="19"/>
      <c r="E117" s="82"/>
      <c r="F117" s="19"/>
      <c r="G117" s="82"/>
      <c r="H117" s="19">
        <v>826</v>
      </c>
      <c r="I117" s="82">
        <v>646</v>
      </c>
      <c r="J117" s="19"/>
      <c r="K117" s="82"/>
      <c r="L117" s="82"/>
      <c r="M117" s="82"/>
      <c r="N117" s="82"/>
      <c r="O117" s="82"/>
      <c r="P117" s="82"/>
      <c r="Q117" s="82"/>
      <c r="R117" s="19">
        <f t="shared" si="5"/>
        <v>826</v>
      </c>
      <c r="S117" s="20">
        <f t="shared" si="6"/>
        <v>165.2</v>
      </c>
      <c r="T117" s="20">
        <f t="shared" si="6"/>
        <v>129.2</v>
      </c>
      <c r="U117" s="119">
        <f>(190-T117)*0.8</f>
        <v>48.640000000000015</v>
      </c>
    </row>
    <row r="118" spans="1:21" s="21" customFormat="1" ht="15">
      <c r="A118" s="19">
        <f t="shared" si="8"/>
        <v>34</v>
      </c>
      <c r="B118" s="19" t="s">
        <v>125</v>
      </c>
      <c r="C118" s="19" t="s">
        <v>110</v>
      </c>
      <c r="D118" s="19">
        <v>957</v>
      </c>
      <c r="E118" s="82">
        <v>657</v>
      </c>
      <c r="F118" s="19"/>
      <c r="G118" s="82"/>
      <c r="H118" s="82">
        <v>792</v>
      </c>
      <c r="I118" s="82">
        <v>557</v>
      </c>
      <c r="J118" s="19"/>
      <c r="K118" s="82"/>
      <c r="L118" s="82"/>
      <c r="M118" s="82"/>
      <c r="N118" s="82">
        <v>630</v>
      </c>
      <c r="O118" s="82">
        <v>355</v>
      </c>
      <c r="P118" s="82"/>
      <c r="Q118" s="82"/>
      <c r="R118" s="19">
        <f t="shared" si="5"/>
        <v>2379</v>
      </c>
      <c r="S118" s="20">
        <f t="shared" si="6"/>
        <v>158.6</v>
      </c>
      <c r="T118" s="20">
        <f t="shared" si="6"/>
        <v>104.6</v>
      </c>
      <c r="U118" s="119">
        <v>60</v>
      </c>
    </row>
    <row r="119" spans="1:21" s="21" customFormat="1" ht="15">
      <c r="A119" s="19">
        <f t="shared" si="8"/>
        <v>35</v>
      </c>
      <c r="B119" s="19" t="s">
        <v>213</v>
      </c>
      <c r="C119" s="19" t="s">
        <v>227</v>
      </c>
      <c r="D119" s="82">
        <v>780</v>
      </c>
      <c r="E119" s="82">
        <v>480</v>
      </c>
      <c r="F119" s="19"/>
      <c r="G119" s="82"/>
      <c r="H119" s="19"/>
      <c r="I119" s="82"/>
      <c r="J119" s="19"/>
      <c r="K119" s="82"/>
      <c r="L119" s="82"/>
      <c r="M119" s="82"/>
      <c r="N119" s="82"/>
      <c r="O119" s="82"/>
      <c r="P119" s="82"/>
      <c r="Q119" s="82"/>
      <c r="R119" s="19">
        <f t="shared" si="5"/>
        <v>780</v>
      </c>
      <c r="S119" s="20">
        <f t="shared" si="6"/>
        <v>156</v>
      </c>
      <c r="T119" s="20">
        <f t="shared" si="6"/>
        <v>96</v>
      </c>
      <c r="U119" s="119">
        <v>60</v>
      </c>
    </row>
    <row r="120" spans="1:21" s="21" customFormat="1" ht="15">
      <c r="A120" s="19">
        <f t="shared" si="8"/>
        <v>36</v>
      </c>
      <c r="B120" s="19" t="s">
        <v>45</v>
      </c>
      <c r="C120" s="19" t="s">
        <v>67</v>
      </c>
      <c r="D120" s="82">
        <v>797</v>
      </c>
      <c r="E120" s="82">
        <v>497</v>
      </c>
      <c r="F120" s="19"/>
      <c r="G120" s="82"/>
      <c r="H120" s="82">
        <v>796</v>
      </c>
      <c r="I120" s="82">
        <v>496</v>
      </c>
      <c r="J120" s="82">
        <v>741</v>
      </c>
      <c r="K120" s="82">
        <v>441</v>
      </c>
      <c r="L120" s="82"/>
      <c r="M120" s="82"/>
      <c r="N120" s="82"/>
      <c r="O120" s="82"/>
      <c r="P120" s="82"/>
      <c r="Q120" s="82"/>
      <c r="R120" s="19">
        <f t="shared" si="5"/>
        <v>2334</v>
      </c>
      <c r="S120" s="20">
        <f t="shared" si="6"/>
        <v>155.6</v>
      </c>
      <c r="T120" s="20">
        <f t="shared" si="6"/>
        <v>95.6</v>
      </c>
      <c r="U120" s="119">
        <v>60</v>
      </c>
    </row>
    <row r="121" spans="1:21" s="21" customFormat="1" ht="15">
      <c r="A121" s="19">
        <f t="shared" si="8"/>
        <v>37</v>
      </c>
      <c r="B121" s="19" t="s">
        <v>152</v>
      </c>
      <c r="C121" s="19" t="s">
        <v>164</v>
      </c>
      <c r="D121" s="82">
        <v>681</v>
      </c>
      <c r="E121" s="82">
        <v>381</v>
      </c>
      <c r="F121" s="19"/>
      <c r="G121" s="82"/>
      <c r="H121" s="19"/>
      <c r="I121" s="82"/>
      <c r="J121" s="19"/>
      <c r="K121" s="82"/>
      <c r="L121" s="82"/>
      <c r="M121" s="82"/>
      <c r="N121" s="82"/>
      <c r="O121" s="82"/>
      <c r="P121" s="82"/>
      <c r="Q121" s="82"/>
      <c r="R121" s="19">
        <f t="shared" si="5"/>
        <v>681</v>
      </c>
      <c r="S121" s="20">
        <f t="shared" si="6"/>
        <v>136.2</v>
      </c>
      <c r="T121" s="20">
        <f t="shared" si="6"/>
        <v>76.2</v>
      </c>
      <c r="U121" s="119">
        <v>60</v>
      </c>
    </row>
    <row r="122" spans="1:16" ht="12.75">
      <c r="A122" s="22" t="s">
        <v>31</v>
      </c>
      <c r="I122" s="83"/>
      <c r="K122" s="83"/>
      <c r="L122" s="83"/>
      <c r="M122" s="83"/>
      <c r="N122" s="83"/>
      <c r="O122" s="83"/>
      <c r="P122" s="83"/>
    </row>
    <row r="123" spans="1:21" s="18" customFormat="1" ht="16.5" customHeight="1">
      <c r="A123" s="23" t="s">
        <v>31</v>
      </c>
      <c r="B123" s="17" t="s">
        <v>28</v>
      </c>
      <c r="C123" s="16"/>
      <c r="D123" s="22"/>
      <c r="E123" s="83"/>
      <c r="F123" s="22"/>
      <c r="G123" s="83"/>
      <c r="H123" s="22"/>
      <c r="I123" s="83"/>
      <c r="J123" s="22"/>
      <c r="K123" s="83"/>
      <c r="L123" s="83"/>
      <c r="M123" s="83"/>
      <c r="N123" s="83"/>
      <c r="O123" s="83"/>
      <c r="P123" s="83"/>
      <c r="Q123" s="83"/>
      <c r="R123" s="22"/>
      <c r="S123" s="22"/>
      <c r="T123" s="22"/>
      <c r="U123" s="117"/>
    </row>
    <row r="124" spans="1:21" s="91" customFormat="1" ht="26.25" customHeight="1">
      <c r="A124" s="85" t="s">
        <v>17</v>
      </c>
      <c r="B124" s="168" t="s">
        <v>18</v>
      </c>
      <c r="C124" s="87" t="s">
        <v>0</v>
      </c>
      <c r="D124" s="87" t="s">
        <v>19</v>
      </c>
      <c r="E124" s="88" t="s">
        <v>60</v>
      </c>
      <c r="F124" s="87" t="s">
        <v>20</v>
      </c>
      <c r="G124" s="88" t="s">
        <v>61</v>
      </c>
      <c r="H124" s="87" t="s">
        <v>21</v>
      </c>
      <c r="I124" s="169" t="s">
        <v>62</v>
      </c>
      <c r="J124" s="170" t="s">
        <v>22</v>
      </c>
      <c r="K124" s="169" t="s">
        <v>63</v>
      </c>
      <c r="L124" s="88" t="s">
        <v>23</v>
      </c>
      <c r="M124" s="169"/>
      <c r="N124" s="169" t="s">
        <v>24</v>
      </c>
      <c r="O124" s="169"/>
      <c r="P124" s="169"/>
      <c r="Q124" s="169"/>
      <c r="R124" s="171" t="s">
        <v>25</v>
      </c>
      <c r="S124" s="172" t="s">
        <v>8</v>
      </c>
      <c r="T124" s="172" t="s">
        <v>8</v>
      </c>
      <c r="U124" s="118" t="s">
        <v>39</v>
      </c>
    </row>
    <row r="125" spans="1:21" s="21" customFormat="1" ht="15.75" customHeight="1">
      <c r="A125" s="19">
        <v>1</v>
      </c>
      <c r="B125" s="165" t="s">
        <v>204</v>
      </c>
      <c r="C125" s="19" t="s">
        <v>222</v>
      </c>
      <c r="D125" s="19">
        <v>895</v>
      </c>
      <c r="E125" s="19">
        <v>840</v>
      </c>
      <c r="F125" s="19">
        <v>845</v>
      </c>
      <c r="G125" s="82">
        <v>755</v>
      </c>
      <c r="H125" s="19">
        <v>1098</v>
      </c>
      <c r="I125" s="82">
        <v>978</v>
      </c>
      <c r="J125" s="19">
        <v>900</v>
      </c>
      <c r="K125" s="19">
        <v>825</v>
      </c>
      <c r="L125" s="82">
        <v>1022</v>
      </c>
      <c r="M125" s="238">
        <v>942</v>
      </c>
      <c r="N125" s="238">
        <v>951</v>
      </c>
      <c r="O125" s="82">
        <v>886</v>
      </c>
      <c r="P125" s="238">
        <v>928</v>
      </c>
      <c r="Q125" s="82">
        <v>863</v>
      </c>
      <c r="R125" s="19">
        <f aca="true" t="shared" si="9" ref="R125:R187">SUM(D125+F125+H125+J125+L125+N125+P125)</f>
        <v>6639</v>
      </c>
      <c r="S125" s="20">
        <f aca="true" t="shared" si="10" ref="S125:T187">AVERAGE(D125,F125,H125,J125,L125,N125,P125)/5</f>
        <v>189.68571428571428</v>
      </c>
      <c r="T125" s="20">
        <f t="shared" si="10"/>
        <v>173.9714285714286</v>
      </c>
      <c r="U125" s="119">
        <f aca="true" t="shared" si="11" ref="U125:U154">(190-T125)*0.8</f>
        <v>12.82285714285713</v>
      </c>
    </row>
    <row r="126" spans="1:21" s="21" customFormat="1" ht="15.75" customHeight="1">
      <c r="A126" s="19">
        <f aca="true" t="shared" si="12" ref="A126:A161">A125+1</f>
        <v>2</v>
      </c>
      <c r="B126" s="19" t="s">
        <v>158</v>
      </c>
      <c r="C126" s="19" t="s">
        <v>163</v>
      </c>
      <c r="D126" s="19">
        <v>838</v>
      </c>
      <c r="E126" s="82">
        <v>538</v>
      </c>
      <c r="F126" s="19">
        <v>848</v>
      </c>
      <c r="G126" s="82">
        <v>548</v>
      </c>
      <c r="H126" s="19">
        <v>870</v>
      </c>
      <c r="I126" s="82">
        <v>570</v>
      </c>
      <c r="J126" s="19">
        <v>1031</v>
      </c>
      <c r="K126" s="82">
        <v>731</v>
      </c>
      <c r="L126" s="82">
        <v>999</v>
      </c>
      <c r="M126" s="82">
        <v>714</v>
      </c>
      <c r="N126" s="82">
        <v>951</v>
      </c>
      <c r="O126" s="82">
        <v>686</v>
      </c>
      <c r="P126" s="82">
        <v>1032</v>
      </c>
      <c r="Q126" s="82">
        <v>777</v>
      </c>
      <c r="R126" s="19">
        <f t="shared" si="9"/>
        <v>6569</v>
      </c>
      <c r="S126" s="20">
        <f t="shared" si="10"/>
        <v>187.68571428571428</v>
      </c>
      <c r="T126" s="20">
        <f t="shared" si="10"/>
        <v>130.4</v>
      </c>
      <c r="U126" s="119">
        <f t="shared" si="11"/>
        <v>47.68</v>
      </c>
    </row>
    <row r="127" spans="1:21" s="21" customFormat="1" ht="15.75" customHeight="1">
      <c r="A127" s="19">
        <f t="shared" si="12"/>
        <v>3</v>
      </c>
      <c r="B127" s="19" t="s">
        <v>96</v>
      </c>
      <c r="C127" s="19" t="s">
        <v>80</v>
      </c>
      <c r="D127" s="19">
        <v>847</v>
      </c>
      <c r="E127" s="82">
        <v>547</v>
      </c>
      <c r="F127" s="19">
        <v>979</v>
      </c>
      <c r="G127" s="82">
        <v>679</v>
      </c>
      <c r="H127" s="19">
        <v>920</v>
      </c>
      <c r="I127" s="82">
        <v>650</v>
      </c>
      <c r="J127" s="19">
        <v>944</v>
      </c>
      <c r="K127" s="82">
        <v>684</v>
      </c>
      <c r="L127" s="82">
        <v>985</v>
      </c>
      <c r="M127" s="82">
        <v>735</v>
      </c>
      <c r="N127" s="19">
        <v>894</v>
      </c>
      <c r="O127" s="82">
        <v>659</v>
      </c>
      <c r="P127" s="82">
        <v>946</v>
      </c>
      <c r="Q127" s="82">
        <v>711</v>
      </c>
      <c r="R127" s="19">
        <f t="shared" si="9"/>
        <v>6515</v>
      </c>
      <c r="S127" s="20">
        <f t="shared" si="10"/>
        <v>186.14285714285714</v>
      </c>
      <c r="T127" s="20">
        <f t="shared" si="10"/>
        <v>133.28571428571428</v>
      </c>
      <c r="U127" s="119">
        <f t="shared" si="11"/>
        <v>45.37142857142858</v>
      </c>
    </row>
    <row r="128" spans="1:21" s="21" customFormat="1" ht="15.75" customHeight="1">
      <c r="A128" s="19">
        <f t="shared" si="12"/>
        <v>4</v>
      </c>
      <c r="B128" s="19" t="s">
        <v>115</v>
      </c>
      <c r="C128" s="19" t="s">
        <v>132</v>
      </c>
      <c r="D128" s="19">
        <v>832</v>
      </c>
      <c r="E128" s="82">
        <v>757</v>
      </c>
      <c r="F128" s="19">
        <v>994</v>
      </c>
      <c r="G128" s="19">
        <v>839</v>
      </c>
      <c r="H128" s="19">
        <v>976</v>
      </c>
      <c r="I128" s="19">
        <v>856</v>
      </c>
      <c r="J128" s="19">
        <v>832</v>
      </c>
      <c r="K128" s="82">
        <v>727</v>
      </c>
      <c r="L128" s="82">
        <v>968</v>
      </c>
      <c r="M128" s="82">
        <v>843</v>
      </c>
      <c r="N128" s="82">
        <v>972</v>
      </c>
      <c r="O128" s="19">
        <v>857</v>
      </c>
      <c r="P128" s="19">
        <v>931</v>
      </c>
      <c r="Q128" s="82">
        <v>821</v>
      </c>
      <c r="R128" s="19">
        <f t="shared" si="9"/>
        <v>6505</v>
      </c>
      <c r="S128" s="20">
        <f t="shared" si="10"/>
        <v>185.85714285714286</v>
      </c>
      <c r="T128" s="20">
        <f t="shared" si="10"/>
        <v>162.85714285714286</v>
      </c>
      <c r="U128" s="119">
        <f t="shared" si="11"/>
        <v>21.71428571428571</v>
      </c>
    </row>
    <row r="129" spans="1:21" s="21" customFormat="1" ht="15.75" customHeight="1">
      <c r="A129" s="19">
        <f t="shared" si="12"/>
        <v>5</v>
      </c>
      <c r="B129" s="19" t="s">
        <v>87</v>
      </c>
      <c r="C129" s="19" t="s">
        <v>103</v>
      </c>
      <c r="D129" s="19">
        <v>929</v>
      </c>
      <c r="E129" s="19">
        <v>809</v>
      </c>
      <c r="F129" s="19">
        <v>951</v>
      </c>
      <c r="G129" s="19">
        <v>836</v>
      </c>
      <c r="H129" s="19">
        <v>982</v>
      </c>
      <c r="I129" s="19">
        <v>882</v>
      </c>
      <c r="J129" s="19">
        <v>817</v>
      </c>
      <c r="K129" s="82">
        <v>732</v>
      </c>
      <c r="L129" s="82">
        <v>909</v>
      </c>
      <c r="M129" s="82">
        <v>799</v>
      </c>
      <c r="N129" s="82">
        <v>932</v>
      </c>
      <c r="O129" s="82">
        <v>822</v>
      </c>
      <c r="P129" s="82">
        <v>888</v>
      </c>
      <c r="Q129" s="82">
        <v>778</v>
      </c>
      <c r="R129" s="19">
        <f t="shared" si="9"/>
        <v>6408</v>
      </c>
      <c r="S129" s="20">
        <f t="shared" si="10"/>
        <v>183.0857142857143</v>
      </c>
      <c r="T129" s="20">
        <f t="shared" si="10"/>
        <v>161.65714285714287</v>
      </c>
      <c r="U129" s="119">
        <f t="shared" si="11"/>
        <v>22.674285714285702</v>
      </c>
    </row>
    <row r="130" spans="1:21" s="21" customFormat="1" ht="15.75" customHeight="1">
      <c r="A130" s="19">
        <f t="shared" si="12"/>
        <v>6</v>
      </c>
      <c r="B130" s="19" t="s">
        <v>51</v>
      </c>
      <c r="C130" s="19" t="s">
        <v>66</v>
      </c>
      <c r="D130" s="19">
        <v>944</v>
      </c>
      <c r="E130" s="82">
        <v>694</v>
      </c>
      <c r="F130" s="19">
        <v>946</v>
      </c>
      <c r="G130" s="82">
        <v>741</v>
      </c>
      <c r="H130" s="19">
        <v>958</v>
      </c>
      <c r="I130" s="82">
        <v>773</v>
      </c>
      <c r="J130" s="19">
        <v>892</v>
      </c>
      <c r="K130" s="82">
        <v>722</v>
      </c>
      <c r="L130" s="82">
        <v>875</v>
      </c>
      <c r="M130" s="82">
        <v>700</v>
      </c>
      <c r="N130" s="82">
        <v>860</v>
      </c>
      <c r="O130" s="82">
        <v>680</v>
      </c>
      <c r="P130" s="82">
        <v>928</v>
      </c>
      <c r="Q130" s="82">
        <v>743</v>
      </c>
      <c r="R130" s="19">
        <f t="shared" si="9"/>
        <v>6403</v>
      </c>
      <c r="S130" s="20">
        <f t="shared" si="10"/>
        <v>182.94285714285712</v>
      </c>
      <c r="T130" s="20">
        <f t="shared" si="10"/>
        <v>144.37142857142857</v>
      </c>
      <c r="U130" s="119">
        <f t="shared" si="11"/>
        <v>36.502857142857145</v>
      </c>
    </row>
    <row r="131" spans="1:21" s="21" customFormat="1" ht="15.75" customHeight="1">
      <c r="A131" s="19">
        <f t="shared" si="12"/>
        <v>7</v>
      </c>
      <c r="B131" s="19" t="s">
        <v>177</v>
      </c>
      <c r="C131" s="19" t="s">
        <v>174</v>
      </c>
      <c r="D131" s="19">
        <v>916</v>
      </c>
      <c r="E131" s="82">
        <v>711</v>
      </c>
      <c r="F131" s="19">
        <v>971</v>
      </c>
      <c r="G131" s="82">
        <v>781</v>
      </c>
      <c r="H131" s="19">
        <v>938</v>
      </c>
      <c r="I131" s="82">
        <v>773</v>
      </c>
      <c r="J131" s="19">
        <v>866</v>
      </c>
      <c r="K131" s="82">
        <v>711</v>
      </c>
      <c r="L131" s="19">
        <v>889</v>
      </c>
      <c r="M131" s="82">
        <v>724</v>
      </c>
      <c r="N131" s="82">
        <v>957</v>
      </c>
      <c r="O131" s="82">
        <v>787</v>
      </c>
      <c r="P131" s="19">
        <v>853</v>
      </c>
      <c r="Q131" s="82">
        <v>693</v>
      </c>
      <c r="R131" s="19">
        <f t="shared" si="9"/>
        <v>6390</v>
      </c>
      <c r="S131" s="20">
        <f t="shared" si="10"/>
        <v>182.57142857142858</v>
      </c>
      <c r="T131" s="20">
        <f t="shared" si="10"/>
        <v>148</v>
      </c>
      <c r="U131" s="119">
        <f t="shared" si="11"/>
        <v>33.6</v>
      </c>
    </row>
    <row r="132" spans="1:21" s="21" customFormat="1" ht="15.75" customHeight="1">
      <c r="A132" s="19">
        <f t="shared" si="12"/>
        <v>8</v>
      </c>
      <c r="B132" s="19" t="s">
        <v>85</v>
      </c>
      <c r="C132" s="19" t="s">
        <v>101</v>
      </c>
      <c r="D132" s="19">
        <v>854</v>
      </c>
      <c r="E132" s="82">
        <v>624</v>
      </c>
      <c r="F132" s="19">
        <v>974</v>
      </c>
      <c r="G132" s="82">
        <v>714</v>
      </c>
      <c r="H132" s="19">
        <v>1033</v>
      </c>
      <c r="I132" s="19">
        <v>808</v>
      </c>
      <c r="J132" s="19">
        <v>844</v>
      </c>
      <c r="K132" s="82">
        <v>654</v>
      </c>
      <c r="L132" s="82">
        <v>920</v>
      </c>
      <c r="M132" s="82">
        <v>720</v>
      </c>
      <c r="N132" s="19">
        <v>852</v>
      </c>
      <c r="O132" s="82">
        <v>657</v>
      </c>
      <c r="P132" s="82">
        <v>901</v>
      </c>
      <c r="Q132" s="82">
        <v>696</v>
      </c>
      <c r="R132" s="19">
        <f t="shared" si="9"/>
        <v>6378</v>
      </c>
      <c r="S132" s="20">
        <f t="shared" si="10"/>
        <v>182.22857142857143</v>
      </c>
      <c r="T132" s="20">
        <f t="shared" si="10"/>
        <v>139.22857142857143</v>
      </c>
      <c r="U132" s="119">
        <f t="shared" si="11"/>
        <v>40.61714285714286</v>
      </c>
    </row>
    <row r="133" spans="1:21" s="21" customFormat="1" ht="15.75" customHeight="1">
      <c r="A133" s="19">
        <f t="shared" si="12"/>
        <v>9</v>
      </c>
      <c r="B133" s="19" t="s">
        <v>247</v>
      </c>
      <c r="C133" s="19" t="s">
        <v>257</v>
      </c>
      <c r="D133" s="19">
        <v>941</v>
      </c>
      <c r="E133" s="82">
        <v>641</v>
      </c>
      <c r="F133" s="19">
        <v>977</v>
      </c>
      <c r="G133" s="82">
        <v>732</v>
      </c>
      <c r="H133" s="82">
        <v>786</v>
      </c>
      <c r="I133" s="82">
        <v>576</v>
      </c>
      <c r="J133" s="19"/>
      <c r="K133" s="82"/>
      <c r="L133" s="82"/>
      <c r="M133" s="82"/>
      <c r="N133" s="82">
        <v>929</v>
      </c>
      <c r="O133" s="82">
        <v>689</v>
      </c>
      <c r="P133" s="82"/>
      <c r="Q133" s="82"/>
      <c r="R133" s="19">
        <f t="shared" si="9"/>
        <v>3633</v>
      </c>
      <c r="S133" s="20">
        <f t="shared" si="10"/>
        <v>181.65</v>
      </c>
      <c r="T133" s="20">
        <f t="shared" si="10"/>
        <v>131.9</v>
      </c>
      <c r="U133" s="119">
        <f t="shared" si="11"/>
        <v>46.48</v>
      </c>
    </row>
    <row r="134" spans="1:21" s="21" customFormat="1" ht="15.75" customHeight="1">
      <c r="A134" s="19">
        <f t="shared" si="12"/>
        <v>10</v>
      </c>
      <c r="B134" s="19" t="s">
        <v>112</v>
      </c>
      <c r="C134" s="19" t="s">
        <v>131</v>
      </c>
      <c r="D134" s="19">
        <v>1007</v>
      </c>
      <c r="E134" s="19">
        <v>837</v>
      </c>
      <c r="F134" s="19">
        <v>828</v>
      </c>
      <c r="G134" s="82">
        <v>738</v>
      </c>
      <c r="H134" s="19">
        <v>857</v>
      </c>
      <c r="I134" s="82">
        <v>727</v>
      </c>
      <c r="J134" s="19">
        <v>916</v>
      </c>
      <c r="K134" s="82">
        <v>771</v>
      </c>
      <c r="L134" s="82">
        <v>932</v>
      </c>
      <c r="M134" s="82">
        <v>787</v>
      </c>
      <c r="N134" s="82">
        <v>938</v>
      </c>
      <c r="O134" s="82">
        <v>798</v>
      </c>
      <c r="P134" s="19">
        <v>877</v>
      </c>
      <c r="Q134" s="82">
        <v>737</v>
      </c>
      <c r="R134" s="19">
        <f t="shared" si="9"/>
        <v>6355</v>
      </c>
      <c r="S134" s="20">
        <f t="shared" si="10"/>
        <v>181.57142857142858</v>
      </c>
      <c r="T134" s="20">
        <f t="shared" si="10"/>
        <v>154.14285714285714</v>
      </c>
      <c r="U134" s="119">
        <f t="shared" si="11"/>
        <v>28.68571428571429</v>
      </c>
    </row>
    <row r="135" spans="1:21" s="21" customFormat="1" ht="15.75" customHeight="1">
      <c r="A135" s="19">
        <f t="shared" si="12"/>
        <v>11</v>
      </c>
      <c r="B135" s="19" t="s">
        <v>188</v>
      </c>
      <c r="C135" s="19" t="s">
        <v>173</v>
      </c>
      <c r="D135" s="19">
        <v>894</v>
      </c>
      <c r="E135" s="82">
        <v>609</v>
      </c>
      <c r="F135" s="19">
        <v>992</v>
      </c>
      <c r="G135" s="82">
        <v>717</v>
      </c>
      <c r="H135" s="19">
        <v>808</v>
      </c>
      <c r="I135" s="82">
        <v>578</v>
      </c>
      <c r="J135" s="19"/>
      <c r="K135" s="82"/>
      <c r="L135" s="19">
        <v>881</v>
      </c>
      <c r="M135" s="82">
        <v>631</v>
      </c>
      <c r="N135" s="82">
        <v>951</v>
      </c>
      <c r="O135" s="82">
        <v>696</v>
      </c>
      <c r="P135" s="82">
        <v>916</v>
      </c>
      <c r="Q135" s="82">
        <v>671</v>
      </c>
      <c r="R135" s="19">
        <f t="shared" si="9"/>
        <v>5442</v>
      </c>
      <c r="S135" s="20">
        <f t="shared" si="10"/>
        <v>181.4</v>
      </c>
      <c r="T135" s="20">
        <f t="shared" si="10"/>
        <v>130.06666666666666</v>
      </c>
      <c r="U135" s="119">
        <f t="shared" si="11"/>
        <v>47.94666666666667</v>
      </c>
    </row>
    <row r="136" spans="1:21" s="21" customFormat="1" ht="15.75" customHeight="1">
      <c r="A136" s="19">
        <f t="shared" si="12"/>
        <v>12</v>
      </c>
      <c r="B136" s="19" t="s">
        <v>301</v>
      </c>
      <c r="C136" s="19" t="s">
        <v>13</v>
      </c>
      <c r="D136" s="19"/>
      <c r="E136" s="82"/>
      <c r="F136" s="19"/>
      <c r="G136" s="82"/>
      <c r="H136" s="19">
        <v>898</v>
      </c>
      <c r="I136" s="82">
        <v>598</v>
      </c>
      <c r="J136" s="82">
        <v>786</v>
      </c>
      <c r="K136" s="82">
        <v>506</v>
      </c>
      <c r="L136" s="82">
        <v>910</v>
      </c>
      <c r="M136" s="82">
        <v>610</v>
      </c>
      <c r="N136" s="82">
        <v>1032</v>
      </c>
      <c r="O136" s="82">
        <v>732</v>
      </c>
      <c r="P136" s="82"/>
      <c r="Q136" s="82"/>
      <c r="R136" s="19">
        <f t="shared" si="9"/>
        <v>3626</v>
      </c>
      <c r="S136" s="20">
        <f t="shared" si="10"/>
        <v>181.3</v>
      </c>
      <c r="T136" s="20">
        <f t="shared" si="10"/>
        <v>122.3</v>
      </c>
      <c r="U136" s="119">
        <v>60</v>
      </c>
    </row>
    <row r="137" spans="1:21" s="21" customFormat="1" ht="15.75" customHeight="1">
      <c r="A137" s="19">
        <f t="shared" si="12"/>
        <v>13</v>
      </c>
      <c r="B137" s="19" t="s">
        <v>216</v>
      </c>
      <c r="C137" s="19" t="s">
        <v>225</v>
      </c>
      <c r="D137" s="19">
        <v>978</v>
      </c>
      <c r="E137" s="19">
        <v>813</v>
      </c>
      <c r="F137" s="19"/>
      <c r="G137" s="82"/>
      <c r="H137" s="19">
        <v>884</v>
      </c>
      <c r="I137" s="82">
        <v>774</v>
      </c>
      <c r="J137" s="19">
        <v>842</v>
      </c>
      <c r="K137" s="82">
        <v>717</v>
      </c>
      <c r="L137" s="19">
        <v>845</v>
      </c>
      <c r="M137" s="82">
        <v>700</v>
      </c>
      <c r="N137" s="82">
        <v>927</v>
      </c>
      <c r="O137" s="82">
        <v>767</v>
      </c>
      <c r="P137" s="82">
        <v>941</v>
      </c>
      <c r="Q137" s="82">
        <v>786</v>
      </c>
      <c r="R137" s="19">
        <f t="shared" si="9"/>
        <v>5417</v>
      </c>
      <c r="S137" s="20">
        <f t="shared" si="10"/>
        <v>180.56666666666666</v>
      </c>
      <c r="T137" s="20">
        <f t="shared" si="10"/>
        <v>151.9</v>
      </c>
      <c r="U137" s="119">
        <f t="shared" si="11"/>
        <v>30.479999999999997</v>
      </c>
    </row>
    <row r="138" spans="1:21" s="21" customFormat="1" ht="15.75" customHeight="1">
      <c r="A138" s="19">
        <f t="shared" si="12"/>
        <v>14</v>
      </c>
      <c r="B138" s="19" t="s">
        <v>190</v>
      </c>
      <c r="C138" s="19" t="s">
        <v>173</v>
      </c>
      <c r="D138" s="19">
        <v>966</v>
      </c>
      <c r="E138" s="19">
        <v>826</v>
      </c>
      <c r="F138" s="19">
        <v>968</v>
      </c>
      <c r="G138" s="19">
        <v>868</v>
      </c>
      <c r="H138" s="19">
        <v>923</v>
      </c>
      <c r="I138" s="19">
        <v>843</v>
      </c>
      <c r="J138" s="19">
        <v>898</v>
      </c>
      <c r="K138" s="19">
        <v>813</v>
      </c>
      <c r="L138" s="19">
        <v>864</v>
      </c>
      <c r="M138" s="82">
        <v>774</v>
      </c>
      <c r="N138" s="173">
        <v>844</v>
      </c>
      <c r="O138" s="177">
        <v>744</v>
      </c>
      <c r="P138" s="19">
        <v>848</v>
      </c>
      <c r="Q138" s="177">
        <v>738</v>
      </c>
      <c r="R138" s="19">
        <f t="shared" si="9"/>
        <v>6311</v>
      </c>
      <c r="S138" s="20">
        <f t="shared" si="10"/>
        <v>180.31428571428572</v>
      </c>
      <c r="T138" s="20">
        <f t="shared" si="10"/>
        <v>160.17142857142858</v>
      </c>
      <c r="U138" s="119">
        <f t="shared" si="11"/>
        <v>23.862857142857138</v>
      </c>
    </row>
    <row r="139" spans="1:21" s="21" customFormat="1" ht="15.75" customHeight="1">
      <c r="A139" s="19">
        <f t="shared" si="12"/>
        <v>15</v>
      </c>
      <c r="B139" s="19" t="s">
        <v>295</v>
      </c>
      <c r="C139" s="19" t="s">
        <v>130</v>
      </c>
      <c r="D139" s="19"/>
      <c r="E139" s="82"/>
      <c r="F139" s="19"/>
      <c r="G139" s="82"/>
      <c r="H139" s="19">
        <v>969</v>
      </c>
      <c r="I139" s="82">
        <v>734</v>
      </c>
      <c r="J139" s="19">
        <v>888</v>
      </c>
      <c r="K139" s="82">
        <v>713</v>
      </c>
      <c r="L139" s="19">
        <v>872</v>
      </c>
      <c r="M139" s="82">
        <v>692</v>
      </c>
      <c r="N139" s="19">
        <v>890</v>
      </c>
      <c r="O139" s="82">
        <v>700</v>
      </c>
      <c r="P139" s="19">
        <v>882</v>
      </c>
      <c r="Q139" s="82">
        <v>692</v>
      </c>
      <c r="R139" s="19">
        <f t="shared" si="9"/>
        <v>4501</v>
      </c>
      <c r="S139" s="20">
        <f t="shared" si="10"/>
        <v>180.04000000000002</v>
      </c>
      <c r="T139" s="20">
        <f t="shared" si="10"/>
        <v>141.24</v>
      </c>
      <c r="U139" s="119">
        <f t="shared" si="11"/>
        <v>39.007999999999996</v>
      </c>
    </row>
    <row r="140" spans="1:21" s="21" customFormat="1" ht="15.75" customHeight="1">
      <c r="A140" s="19">
        <f t="shared" si="12"/>
        <v>16</v>
      </c>
      <c r="B140" s="19" t="s">
        <v>186</v>
      </c>
      <c r="C140" s="19" t="s">
        <v>193</v>
      </c>
      <c r="D140" s="19">
        <v>866</v>
      </c>
      <c r="E140" s="82">
        <v>731</v>
      </c>
      <c r="F140" s="19">
        <v>1094</v>
      </c>
      <c r="G140" s="82">
        <v>919</v>
      </c>
      <c r="H140" s="82">
        <v>718</v>
      </c>
      <c r="I140" s="82">
        <v>618</v>
      </c>
      <c r="J140" s="19">
        <v>925</v>
      </c>
      <c r="K140" s="82">
        <v>770</v>
      </c>
      <c r="L140" s="82">
        <v>870</v>
      </c>
      <c r="M140" s="82">
        <v>720</v>
      </c>
      <c r="N140" s="82">
        <v>943</v>
      </c>
      <c r="O140" s="82">
        <v>783</v>
      </c>
      <c r="P140" s="19">
        <v>873</v>
      </c>
      <c r="Q140" s="82">
        <v>718</v>
      </c>
      <c r="R140" s="19">
        <f t="shared" si="9"/>
        <v>6289</v>
      </c>
      <c r="S140" s="20">
        <f t="shared" si="10"/>
        <v>179.68571428571428</v>
      </c>
      <c r="T140" s="20">
        <f t="shared" si="10"/>
        <v>150.25714285714287</v>
      </c>
      <c r="U140" s="119">
        <f t="shared" si="11"/>
        <v>31.794285714285706</v>
      </c>
    </row>
    <row r="141" spans="1:21" s="21" customFormat="1" ht="15.75" customHeight="1">
      <c r="A141" s="19">
        <f t="shared" si="12"/>
        <v>17</v>
      </c>
      <c r="B141" s="19" t="s">
        <v>93</v>
      </c>
      <c r="C141" s="19" t="s">
        <v>100</v>
      </c>
      <c r="D141" s="19">
        <v>999</v>
      </c>
      <c r="E141" s="19">
        <v>834</v>
      </c>
      <c r="F141" s="19">
        <v>1001</v>
      </c>
      <c r="G141" s="82">
        <v>906</v>
      </c>
      <c r="H141" s="19">
        <v>882</v>
      </c>
      <c r="I141" s="19">
        <v>817</v>
      </c>
      <c r="J141" s="19">
        <v>824</v>
      </c>
      <c r="K141" s="82">
        <v>744</v>
      </c>
      <c r="L141" s="82">
        <v>799</v>
      </c>
      <c r="M141" s="82">
        <v>699</v>
      </c>
      <c r="N141" s="19">
        <v>889</v>
      </c>
      <c r="O141" s="82">
        <v>769</v>
      </c>
      <c r="P141" s="19">
        <v>884</v>
      </c>
      <c r="Q141" s="82">
        <v>759</v>
      </c>
      <c r="R141" s="19">
        <f t="shared" si="9"/>
        <v>6278</v>
      </c>
      <c r="S141" s="20">
        <f t="shared" si="10"/>
        <v>179.37142857142857</v>
      </c>
      <c r="T141" s="20">
        <f t="shared" si="10"/>
        <v>157.94285714285712</v>
      </c>
      <c r="U141" s="119">
        <f t="shared" si="11"/>
        <v>25.645714285714305</v>
      </c>
    </row>
    <row r="142" spans="1:21" s="21" customFormat="1" ht="15.75" customHeight="1">
      <c r="A142" s="19">
        <f t="shared" si="12"/>
        <v>18</v>
      </c>
      <c r="B142" s="19" t="s">
        <v>29</v>
      </c>
      <c r="C142" s="19" t="s">
        <v>69</v>
      </c>
      <c r="D142" s="19">
        <v>1002</v>
      </c>
      <c r="E142" s="19">
        <v>832</v>
      </c>
      <c r="F142" s="19">
        <v>922</v>
      </c>
      <c r="G142" s="19">
        <v>827</v>
      </c>
      <c r="H142" s="19">
        <v>946</v>
      </c>
      <c r="I142" s="19">
        <v>851</v>
      </c>
      <c r="J142" s="19">
        <v>821</v>
      </c>
      <c r="K142" s="82">
        <v>731</v>
      </c>
      <c r="L142" s="82">
        <v>875</v>
      </c>
      <c r="M142" s="82">
        <v>765</v>
      </c>
      <c r="N142" s="19">
        <v>830</v>
      </c>
      <c r="O142" s="82">
        <v>710</v>
      </c>
      <c r="P142" s="82">
        <v>863</v>
      </c>
      <c r="Q142" s="82">
        <v>733</v>
      </c>
      <c r="R142" s="19">
        <f t="shared" si="9"/>
        <v>6259</v>
      </c>
      <c r="S142" s="20">
        <f t="shared" si="10"/>
        <v>178.82857142857142</v>
      </c>
      <c r="T142" s="20">
        <f t="shared" si="10"/>
        <v>155.68571428571428</v>
      </c>
      <c r="U142" s="119">
        <f t="shared" si="11"/>
        <v>27.451428571428576</v>
      </c>
    </row>
    <row r="143" spans="1:21" s="21" customFormat="1" ht="15.75" customHeight="1">
      <c r="A143" s="19">
        <f t="shared" si="12"/>
        <v>19</v>
      </c>
      <c r="B143" s="19" t="s">
        <v>44</v>
      </c>
      <c r="C143" s="19" t="s">
        <v>67</v>
      </c>
      <c r="D143" s="19">
        <v>835</v>
      </c>
      <c r="E143" s="82">
        <v>620</v>
      </c>
      <c r="F143" s="19"/>
      <c r="G143" s="82"/>
      <c r="H143" s="19">
        <v>950</v>
      </c>
      <c r="I143" s="82">
        <v>685</v>
      </c>
      <c r="J143" s="19">
        <v>839</v>
      </c>
      <c r="K143" s="82">
        <v>599</v>
      </c>
      <c r="L143" s="82">
        <v>942</v>
      </c>
      <c r="M143" s="82">
        <v>692</v>
      </c>
      <c r="N143" s="19">
        <v>892</v>
      </c>
      <c r="O143" s="82">
        <v>652</v>
      </c>
      <c r="P143" s="82"/>
      <c r="Q143" s="82"/>
      <c r="R143" s="19">
        <f t="shared" si="9"/>
        <v>4458</v>
      </c>
      <c r="S143" s="20">
        <f t="shared" si="10"/>
        <v>178.32</v>
      </c>
      <c r="T143" s="20">
        <f t="shared" si="10"/>
        <v>129.92000000000002</v>
      </c>
      <c r="U143" s="119">
        <f t="shared" si="11"/>
        <v>48.06399999999999</v>
      </c>
    </row>
    <row r="144" spans="1:21" s="21" customFormat="1" ht="15.75" customHeight="1">
      <c r="A144" s="19">
        <f t="shared" si="12"/>
        <v>20</v>
      </c>
      <c r="B144" s="19" t="s">
        <v>220</v>
      </c>
      <c r="C144" s="19" t="s">
        <v>224</v>
      </c>
      <c r="D144" s="19">
        <v>810</v>
      </c>
      <c r="E144" s="82">
        <v>640</v>
      </c>
      <c r="F144" s="19">
        <v>1093</v>
      </c>
      <c r="G144" s="19">
        <v>843</v>
      </c>
      <c r="H144" s="19">
        <v>848</v>
      </c>
      <c r="I144" s="82">
        <v>683</v>
      </c>
      <c r="J144" s="82">
        <v>776</v>
      </c>
      <c r="K144" s="82">
        <v>596</v>
      </c>
      <c r="L144" s="82">
        <v>937</v>
      </c>
      <c r="M144" s="82">
        <v>727</v>
      </c>
      <c r="N144" s="19">
        <v>885</v>
      </c>
      <c r="O144" s="82">
        <v>685</v>
      </c>
      <c r="P144" s="82"/>
      <c r="Q144" s="82"/>
      <c r="R144" s="19">
        <f t="shared" si="9"/>
        <v>5349</v>
      </c>
      <c r="S144" s="20">
        <f t="shared" si="10"/>
        <v>178.3</v>
      </c>
      <c r="T144" s="20">
        <f t="shared" si="10"/>
        <v>139.13333333333333</v>
      </c>
      <c r="U144" s="119">
        <f t="shared" si="11"/>
        <v>40.69333333333334</v>
      </c>
    </row>
    <row r="145" spans="1:21" s="21" customFormat="1" ht="15.75" customHeight="1">
      <c r="A145" s="19">
        <f t="shared" si="12"/>
        <v>21</v>
      </c>
      <c r="B145" s="19" t="s">
        <v>154</v>
      </c>
      <c r="C145" s="19" t="s">
        <v>162</v>
      </c>
      <c r="D145" s="19">
        <v>845</v>
      </c>
      <c r="E145" s="82">
        <v>560</v>
      </c>
      <c r="F145" s="19">
        <v>909</v>
      </c>
      <c r="G145" s="82">
        <v>609</v>
      </c>
      <c r="H145" s="19">
        <v>958</v>
      </c>
      <c r="I145" s="82">
        <v>668</v>
      </c>
      <c r="J145" s="19">
        <v>910</v>
      </c>
      <c r="K145" s="82">
        <v>640</v>
      </c>
      <c r="L145" s="82">
        <v>830</v>
      </c>
      <c r="M145" s="82">
        <v>565</v>
      </c>
      <c r="N145" s="19">
        <v>872</v>
      </c>
      <c r="O145" s="82">
        <v>597</v>
      </c>
      <c r="P145" s="82">
        <v>915</v>
      </c>
      <c r="Q145" s="82">
        <v>640</v>
      </c>
      <c r="R145" s="19">
        <f t="shared" si="9"/>
        <v>6239</v>
      </c>
      <c r="S145" s="20">
        <f t="shared" si="10"/>
        <v>178.25714285714287</v>
      </c>
      <c r="T145" s="20">
        <f t="shared" si="10"/>
        <v>122.25714285714287</v>
      </c>
      <c r="U145" s="119">
        <f t="shared" si="11"/>
        <v>54.19428571428571</v>
      </c>
    </row>
    <row r="146" spans="1:21" s="21" customFormat="1" ht="15.75" customHeight="1">
      <c r="A146" s="19">
        <f t="shared" si="12"/>
        <v>22</v>
      </c>
      <c r="B146" s="19" t="s">
        <v>284</v>
      </c>
      <c r="C146" s="19" t="s">
        <v>128</v>
      </c>
      <c r="D146" s="19"/>
      <c r="E146" s="82"/>
      <c r="F146" s="19">
        <v>904</v>
      </c>
      <c r="G146" s="82">
        <v>654</v>
      </c>
      <c r="H146" s="19">
        <v>832</v>
      </c>
      <c r="I146" s="82">
        <v>597</v>
      </c>
      <c r="J146" s="19">
        <v>845</v>
      </c>
      <c r="K146" s="82">
        <v>585</v>
      </c>
      <c r="L146" s="82">
        <v>922</v>
      </c>
      <c r="M146" s="82">
        <v>652</v>
      </c>
      <c r="N146" s="82">
        <v>953</v>
      </c>
      <c r="O146" s="82">
        <v>693</v>
      </c>
      <c r="P146" s="82"/>
      <c r="Q146" s="82"/>
      <c r="R146" s="19">
        <f t="shared" si="9"/>
        <v>4456</v>
      </c>
      <c r="S146" s="20">
        <f t="shared" si="10"/>
        <v>178.24</v>
      </c>
      <c r="T146" s="20">
        <f t="shared" si="10"/>
        <v>127.24000000000001</v>
      </c>
      <c r="U146" s="119">
        <f t="shared" si="11"/>
        <v>50.208</v>
      </c>
    </row>
    <row r="147" spans="1:21" s="21" customFormat="1" ht="15.75" customHeight="1">
      <c r="A147" s="19">
        <f t="shared" si="12"/>
        <v>23</v>
      </c>
      <c r="B147" s="19" t="s">
        <v>206</v>
      </c>
      <c r="C147" s="19" t="s">
        <v>226</v>
      </c>
      <c r="D147" s="19">
        <v>976</v>
      </c>
      <c r="E147" s="82">
        <v>841</v>
      </c>
      <c r="F147" s="19">
        <v>856</v>
      </c>
      <c r="G147" s="82">
        <v>771</v>
      </c>
      <c r="H147" s="19">
        <v>898</v>
      </c>
      <c r="I147" s="82">
        <v>783</v>
      </c>
      <c r="J147" s="19">
        <v>849</v>
      </c>
      <c r="K147" s="82">
        <v>729</v>
      </c>
      <c r="L147" s="19">
        <v>815</v>
      </c>
      <c r="M147" s="82">
        <v>680</v>
      </c>
      <c r="N147" s="82">
        <v>930</v>
      </c>
      <c r="O147" s="82">
        <v>780</v>
      </c>
      <c r="P147" s="82"/>
      <c r="Q147" s="82"/>
      <c r="R147" s="19">
        <f t="shared" si="9"/>
        <v>5324</v>
      </c>
      <c r="S147" s="20">
        <f t="shared" si="10"/>
        <v>177.46666666666667</v>
      </c>
      <c r="T147" s="20">
        <f t="shared" si="10"/>
        <v>152.8</v>
      </c>
      <c r="U147" s="119">
        <f t="shared" si="11"/>
        <v>29.75999999999999</v>
      </c>
    </row>
    <row r="148" spans="1:21" s="21" customFormat="1" ht="15.75" customHeight="1">
      <c r="A148" s="19">
        <f t="shared" si="12"/>
        <v>24</v>
      </c>
      <c r="B148" s="19" t="s">
        <v>98</v>
      </c>
      <c r="C148" s="19" t="s">
        <v>102</v>
      </c>
      <c r="D148" s="19">
        <v>936</v>
      </c>
      <c r="E148" s="82">
        <v>636</v>
      </c>
      <c r="F148" s="19">
        <v>909</v>
      </c>
      <c r="G148" s="82">
        <v>659</v>
      </c>
      <c r="H148" s="19">
        <v>896</v>
      </c>
      <c r="I148" s="82">
        <v>656</v>
      </c>
      <c r="J148" s="19">
        <v>805</v>
      </c>
      <c r="K148" s="82">
        <v>565</v>
      </c>
      <c r="L148" s="82">
        <v>960</v>
      </c>
      <c r="M148" s="82">
        <v>705</v>
      </c>
      <c r="N148" s="19">
        <v>817</v>
      </c>
      <c r="O148" s="82">
        <v>572</v>
      </c>
      <c r="P148" s="19">
        <v>832</v>
      </c>
      <c r="Q148" s="82">
        <v>577</v>
      </c>
      <c r="R148" s="19">
        <f t="shared" si="9"/>
        <v>6155</v>
      </c>
      <c r="S148" s="20">
        <f t="shared" si="10"/>
        <v>175.85714285714286</v>
      </c>
      <c r="T148" s="20">
        <f t="shared" si="10"/>
        <v>124.85714285714286</v>
      </c>
      <c r="U148" s="119">
        <f t="shared" si="11"/>
        <v>52.114285714285714</v>
      </c>
    </row>
    <row r="149" spans="1:21" s="21" customFormat="1" ht="15.75" customHeight="1">
      <c r="A149" s="19">
        <f t="shared" si="12"/>
        <v>25</v>
      </c>
      <c r="B149" s="19" t="s">
        <v>259</v>
      </c>
      <c r="C149" s="19" t="s">
        <v>249</v>
      </c>
      <c r="D149" s="19">
        <v>976</v>
      </c>
      <c r="E149" s="82">
        <v>676</v>
      </c>
      <c r="F149" s="19">
        <v>875</v>
      </c>
      <c r="G149" s="82">
        <v>655</v>
      </c>
      <c r="H149" s="19">
        <v>910</v>
      </c>
      <c r="I149" s="82">
        <v>680</v>
      </c>
      <c r="J149" s="19">
        <v>816</v>
      </c>
      <c r="K149" s="82">
        <v>591</v>
      </c>
      <c r="L149" s="82">
        <v>770</v>
      </c>
      <c r="M149" s="82">
        <v>530</v>
      </c>
      <c r="N149" s="19">
        <v>894</v>
      </c>
      <c r="O149" s="82">
        <v>634</v>
      </c>
      <c r="P149" s="82">
        <v>907</v>
      </c>
      <c r="Q149" s="82">
        <v>647</v>
      </c>
      <c r="R149" s="19">
        <f t="shared" si="9"/>
        <v>6148</v>
      </c>
      <c r="S149" s="20">
        <f t="shared" si="10"/>
        <v>175.65714285714287</v>
      </c>
      <c r="T149" s="20">
        <f t="shared" si="10"/>
        <v>126.08571428571429</v>
      </c>
      <c r="U149" s="119">
        <f t="shared" si="11"/>
        <v>51.13142857142857</v>
      </c>
    </row>
    <row r="150" spans="1:21" s="21" customFormat="1" ht="15.75" customHeight="1">
      <c r="A150" s="19">
        <f t="shared" si="12"/>
        <v>26</v>
      </c>
      <c r="B150" s="19" t="s">
        <v>169</v>
      </c>
      <c r="C150" s="19" t="s">
        <v>167</v>
      </c>
      <c r="D150" s="19">
        <v>878</v>
      </c>
      <c r="E150" s="82">
        <v>578</v>
      </c>
      <c r="F150" s="19">
        <v>941</v>
      </c>
      <c r="G150" s="82">
        <v>641</v>
      </c>
      <c r="H150" s="19">
        <v>857</v>
      </c>
      <c r="I150" s="82">
        <v>587</v>
      </c>
      <c r="J150" s="19">
        <v>834</v>
      </c>
      <c r="K150" s="82">
        <v>554</v>
      </c>
      <c r="L150" s="82">
        <v>929</v>
      </c>
      <c r="M150" s="82">
        <v>639</v>
      </c>
      <c r="N150" s="19">
        <v>828</v>
      </c>
      <c r="O150" s="82">
        <v>548</v>
      </c>
      <c r="P150" s="19">
        <v>874</v>
      </c>
      <c r="Q150" s="82">
        <v>589</v>
      </c>
      <c r="R150" s="19">
        <f t="shared" si="9"/>
        <v>6141</v>
      </c>
      <c r="S150" s="20">
        <f t="shared" si="10"/>
        <v>175.45714285714286</v>
      </c>
      <c r="T150" s="20">
        <f t="shared" si="10"/>
        <v>118.17142857142858</v>
      </c>
      <c r="U150" s="119">
        <f t="shared" si="11"/>
        <v>57.46285714285714</v>
      </c>
    </row>
    <row r="151" spans="1:21" s="21" customFormat="1" ht="15.75" customHeight="1">
      <c r="A151" s="19">
        <f t="shared" si="12"/>
        <v>27</v>
      </c>
      <c r="B151" s="19" t="s">
        <v>124</v>
      </c>
      <c r="C151" s="19" t="s">
        <v>110</v>
      </c>
      <c r="D151" s="19">
        <v>917</v>
      </c>
      <c r="E151" s="82">
        <v>617</v>
      </c>
      <c r="F151" s="19">
        <v>886</v>
      </c>
      <c r="G151" s="82">
        <v>621</v>
      </c>
      <c r="H151" s="19">
        <v>851</v>
      </c>
      <c r="I151" s="82">
        <v>586</v>
      </c>
      <c r="J151" s="19"/>
      <c r="K151" s="82"/>
      <c r="L151" s="19">
        <v>849</v>
      </c>
      <c r="M151" s="82">
        <v>574</v>
      </c>
      <c r="N151" s="82"/>
      <c r="O151" s="82"/>
      <c r="P151" s="82"/>
      <c r="Q151" s="82"/>
      <c r="R151" s="19">
        <f t="shared" si="9"/>
        <v>3503</v>
      </c>
      <c r="S151" s="20">
        <f t="shared" si="10"/>
        <v>175.15</v>
      </c>
      <c r="T151" s="20">
        <f t="shared" si="10"/>
        <v>119.9</v>
      </c>
      <c r="U151" s="119">
        <f t="shared" si="11"/>
        <v>56.08</v>
      </c>
    </row>
    <row r="152" spans="1:21" s="21" customFormat="1" ht="15.75" customHeight="1">
      <c r="A152" s="19">
        <f t="shared" si="12"/>
        <v>28</v>
      </c>
      <c r="B152" s="19" t="s">
        <v>210</v>
      </c>
      <c r="C152" s="19" t="s">
        <v>223</v>
      </c>
      <c r="D152" s="19">
        <v>951</v>
      </c>
      <c r="E152" s="82">
        <v>651</v>
      </c>
      <c r="F152" s="19">
        <v>894</v>
      </c>
      <c r="G152" s="82">
        <v>654</v>
      </c>
      <c r="H152" s="82">
        <v>797</v>
      </c>
      <c r="I152" s="82">
        <v>557</v>
      </c>
      <c r="J152" s="19">
        <v>853</v>
      </c>
      <c r="K152" s="82">
        <v>588</v>
      </c>
      <c r="L152" s="82"/>
      <c r="M152" s="82"/>
      <c r="N152" s="82"/>
      <c r="O152" s="82"/>
      <c r="P152" s="82"/>
      <c r="Q152" s="82"/>
      <c r="R152" s="19">
        <f t="shared" si="9"/>
        <v>3495</v>
      </c>
      <c r="S152" s="20">
        <f t="shared" si="10"/>
        <v>174.75</v>
      </c>
      <c r="T152" s="20">
        <f t="shared" si="10"/>
        <v>122.5</v>
      </c>
      <c r="U152" s="119">
        <f t="shared" si="11"/>
        <v>54</v>
      </c>
    </row>
    <row r="153" spans="1:21" s="21" customFormat="1" ht="15.75" customHeight="1">
      <c r="A153" s="19">
        <f t="shared" si="12"/>
        <v>29</v>
      </c>
      <c r="B153" s="19" t="s">
        <v>53</v>
      </c>
      <c r="C153" s="19" t="s">
        <v>68</v>
      </c>
      <c r="D153" s="82">
        <v>770</v>
      </c>
      <c r="E153" s="82">
        <v>470</v>
      </c>
      <c r="F153" s="19">
        <v>855</v>
      </c>
      <c r="G153" s="82">
        <v>555</v>
      </c>
      <c r="H153" s="19"/>
      <c r="I153" s="82"/>
      <c r="J153" s="19">
        <v>911</v>
      </c>
      <c r="K153" s="82">
        <v>611</v>
      </c>
      <c r="L153" s="82">
        <v>898</v>
      </c>
      <c r="M153" s="82">
        <v>598</v>
      </c>
      <c r="N153" s="82">
        <v>903</v>
      </c>
      <c r="O153" s="82">
        <v>603</v>
      </c>
      <c r="P153" s="19">
        <v>894</v>
      </c>
      <c r="Q153" s="82">
        <v>594</v>
      </c>
      <c r="R153" s="19">
        <f t="shared" si="9"/>
        <v>5231</v>
      </c>
      <c r="S153" s="20">
        <f t="shared" si="10"/>
        <v>174.36666666666667</v>
      </c>
      <c r="T153" s="20">
        <f t="shared" si="10"/>
        <v>114.36666666666667</v>
      </c>
      <c r="U153" s="119">
        <v>60</v>
      </c>
    </row>
    <row r="154" spans="1:21" s="21" customFormat="1" ht="15.75" customHeight="1">
      <c r="A154" s="19">
        <f t="shared" si="12"/>
        <v>30</v>
      </c>
      <c r="B154" s="19" t="s">
        <v>145</v>
      </c>
      <c r="C154" s="19" t="s">
        <v>161</v>
      </c>
      <c r="D154" s="19">
        <v>882</v>
      </c>
      <c r="E154" s="82">
        <v>597</v>
      </c>
      <c r="F154" s="19">
        <v>923</v>
      </c>
      <c r="G154" s="82">
        <v>643</v>
      </c>
      <c r="H154" s="19">
        <v>813</v>
      </c>
      <c r="I154" s="82">
        <v>548</v>
      </c>
      <c r="J154" s="19">
        <v>857</v>
      </c>
      <c r="K154" s="82">
        <v>572</v>
      </c>
      <c r="L154" s="82">
        <v>904</v>
      </c>
      <c r="M154" s="82">
        <v>614</v>
      </c>
      <c r="N154" s="19">
        <v>819</v>
      </c>
      <c r="O154" s="82">
        <v>534</v>
      </c>
      <c r="P154" s="82"/>
      <c r="Q154" s="82"/>
      <c r="R154" s="19">
        <f t="shared" si="9"/>
        <v>5198</v>
      </c>
      <c r="S154" s="20">
        <f t="shared" si="10"/>
        <v>173.26666666666668</v>
      </c>
      <c r="T154" s="20">
        <f t="shared" si="10"/>
        <v>116.93333333333332</v>
      </c>
      <c r="U154" s="119">
        <f t="shared" si="11"/>
        <v>58.45333333333335</v>
      </c>
    </row>
    <row r="155" spans="1:21" s="21" customFormat="1" ht="15">
      <c r="A155" s="19">
        <f t="shared" si="12"/>
        <v>31</v>
      </c>
      <c r="B155" s="19" t="s">
        <v>184</v>
      </c>
      <c r="C155" s="19" t="s">
        <v>171</v>
      </c>
      <c r="D155" s="19">
        <v>847</v>
      </c>
      <c r="E155" s="82">
        <v>547</v>
      </c>
      <c r="F155" s="19">
        <v>806</v>
      </c>
      <c r="G155" s="82">
        <v>506</v>
      </c>
      <c r="H155" s="19">
        <v>854</v>
      </c>
      <c r="I155" s="82">
        <v>554</v>
      </c>
      <c r="J155" s="19">
        <v>894</v>
      </c>
      <c r="K155" s="82">
        <v>594</v>
      </c>
      <c r="L155" s="19">
        <v>889</v>
      </c>
      <c r="M155" s="82">
        <v>589</v>
      </c>
      <c r="N155" s="82">
        <v>907</v>
      </c>
      <c r="O155" s="82">
        <v>607</v>
      </c>
      <c r="P155" s="82"/>
      <c r="Q155" s="82"/>
      <c r="R155" s="19">
        <f t="shared" si="9"/>
        <v>5197</v>
      </c>
      <c r="S155" s="20">
        <f t="shared" si="10"/>
        <v>173.23333333333332</v>
      </c>
      <c r="T155" s="20">
        <f t="shared" si="10"/>
        <v>113.23333333333332</v>
      </c>
      <c r="U155" s="119">
        <v>60</v>
      </c>
    </row>
    <row r="156" spans="1:21" s="21" customFormat="1" ht="15">
      <c r="A156" s="19">
        <f t="shared" si="12"/>
        <v>32</v>
      </c>
      <c r="B156" s="19" t="s">
        <v>230</v>
      </c>
      <c r="C156" s="19" t="s">
        <v>258</v>
      </c>
      <c r="D156" s="19">
        <v>884</v>
      </c>
      <c r="E156" s="82">
        <v>584</v>
      </c>
      <c r="F156" s="19">
        <v>908</v>
      </c>
      <c r="G156" s="82">
        <v>613</v>
      </c>
      <c r="H156" s="82">
        <v>792</v>
      </c>
      <c r="I156" s="82">
        <v>512</v>
      </c>
      <c r="J156" s="19"/>
      <c r="K156" s="82"/>
      <c r="L156" s="19">
        <v>873</v>
      </c>
      <c r="M156" s="82">
        <v>573</v>
      </c>
      <c r="N156" s="19">
        <v>811</v>
      </c>
      <c r="O156" s="82">
        <v>511</v>
      </c>
      <c r="P156" s="82"/>
      <c r="Q156" s="82"/>
      <c r="R156" s="19">
        <f t="shared" si="9"/>
        <v>4268</v>
      </c>
      <c r="S156" s="20">
        <f t="shared" si="10"/>
        <v>170.72</v>
      </c>
      <c r="T156" s="20">
        <f t="shared" si="10"/>
        <v>111.72</v>
      </c>
      <c r="U156" s="119">
        <v>60</v>
      </c>
    </row>
    <row r="157" spans="1:21" s="21" customFormat="1" ht="15">
      <c r="A157" s="19">
        <f t="shared" si="12"/>
        <v>33</v>
      </c>
      <c r="B157" s="19" t="s">
        <v>242</v>
      </c>
      <c r="C157" s="19" t="s">
        <v>241</v>
      </c>
      <c r="D157" s="19">
        <v>841</v>
      </c>
      <c r="E157" s="82">
        <v>541</v>
      </c>
      <c r="F157" s="19">
        <v>896</v>
      </c>
      <c r="G157" s="82">
        <v>596</v>
      </c>
      <c r="H157" s="19">
        <v>872</v>
      </c>
      <c r="I157" s="82">
        <v>572</v>
      </c>
      <c r="J157" s="19">
        <v>823</v>
      </c>
      <c r="K157" s="82">
        <v>523</v>
      </c>
      <c r="L157" s="19">
        <v>861</v>
      </c>
      <c r="M157" s="82">
        <v>561</v>
      </c>
      <c r="N157" s="19">
        <v>804</v>
      </c>
      <c r="O157" s="82">
        <v>504</v>
      </c>
      <c r="P157" s="82"/>
      <c r="Q157" s="82"/>
      <c r="R157" s="19">
        <f t="shared" si="9"/>
        <v>5097</v>
      </c>
      <c r="S157" s="20">
        <f t="shared" si="10"/>
        <v>169.9</v>
      </c>
      <c r="T157" s="20">
        <f t="shared" si="10"/>
        <v>109.9</v>
      </c>
      <c r="U157" s="119">
        <v>60</v>
      </c>
    </row>
    <row r="158" spans="1:21" s="21" customFormat="1" ht="15">
      <c r="A158" s="19">
        <f t="shared" si="12"/>
        <v>34</v>
      </c>
      <c r="B158" s="19" t="s">
        <v>82</v>
      </c>
      <c r="C158" s="19" t="s">
        <v>74</v>
      </c>
      <c r="D158" s="19">
        <v>833</v>
      </c>
      <c r="E158" s="82">
        <v>533</v>
      </c>
      <c r="F158" s="19">
        <v>857</v>
      </c>
      <c r="G158" s="82">
        <v>557</v>
      </c>
      <c r="H158" s="19"/>
      <c r="I158" s="82"/>
      <c r="J158" s="19">
        <v>865</v>
      </c>
      <c r="K158" s="82">
        <v>565</v>
      </c>
      <c r="L158" s="19">
        <v>846</v>
      </c>
      <c r="M158" s="82">
        <v>546</v>
      </c>
      <c r="N158" s="19">
        <v>835</v>
      </c>
      <c r="O158" s="82">
        <v>535</v>
      </c>
      <c r="P158" s="82"/>
      <c r="Q158" s="82"/>
      <c r="R158" s="19">
        <f t="shared" si="9"/>
        <v>4236</v>
      </c>
      <c r="S158" s="20">
        <f t="shared" si="10"/>
        <v>169.44</v>
      </c>
      <c r="T158" s="20">
        <f t="shared" si="10"/>
        <v>109.44000000000001</v>
      </c>
      <c r="U158" s="119">
        <v>60</v>
      </c>
    </row>
    <row r="159" spans="1:21" s="21" customFormat="1" ht="15.75" customHeight="1">
      <c r="A159" s="19">
        <f t="shared" si="12"/>
        <v>35</v>
      </c>
      <c r="B159" s="19" t="s">
        <v>142</v>
      </c>
      <c r="C159" s="19" t="s">
        <v>165</v>
      </c>
      <c r="D159" s="82">
        <v>764</v>
      </c>
      <c r="E159" s="82">
        <v>464</v>
      </c>
      <c r="F159" s="19">
        <v>816</v>
      </c>
      <c r="G159" s="82">
        <v>516</v>
      </c>
      <c r="H159" s="19">
        <v>837</v>
      </c>
      <c r="I159" s="82">
        <v>537</v>
      </c>
      <c r="J159" s="82">
        <v>789</v>
      </c>
      <c r="K159" s="82">
        <v>489</v>
      </c>
      <c r="L159" s="19">
        <v>869</v>
      </c>
      <c r="M159" s="82">
        <v>569</v>
      </c>
      <c r="N159" s="82"/>
      <c r="O159" s="82"/>
      <c r="P159" s="19">
        <v>879</v>
      </c>
      <c r="Q159" s="82">
        <v>704</v>
      </c>
      <c r="R159" s="19">
        <f t="shared" si="9"/>
        <v>4954</v>
      </c>
      <c r="S159" s="20">
        <f t="shared" si="10"/>
        <v>165.13333333333333</v>
      </c>
      <c r="T159" s="20">
        <f t="shared" si="10"/>
        <v>109.3</v>
      </c>
      <c r="U159" s="119">
        <v>60</v>
      </c>
    </row>
    <row r="160" spans="1:21" s="21" customFormat="1" ht="15.75" customHeight="1">
      <c r="A160" s="19">
        <f t="shared" si="12"/>
        <v>36</v>
      </c>
      <c r="B160" s="19" t="s">
        <v>150</v>
      </c>
      <c r="C160" s="19" t="s">
        <v>164</v>
      </c>
      <c r="D160" s="19">
        <v>802</v>
      </c>
      <c r="E160" s="82">
        <v>502</v>
      </c>
      <c r="F160" s="82">
        <v>747</v>
      </c>
      <c r="G160" s="82">
        <v>447</v>
      </c>
      <c r="H160" s="19">
        <v>818</v>
      </c>
      <c r="I160" s="82">
        <v>518</v>
      </c>
      <c r="J160" s="82">
        <v>753</v>
      </c>
      <c r="K160" s="82">
        <v>453</v>
      </c>
      <c r="L160" s="19">
        <v>839</v>
      </c>
      <c r="M160" s="82">
        <v>539</v>
      </c>
      <c r="N160" s="19">
        <v>845</v>
      </c>
      <c r="O160" s="82">
        <v>545</v>
      </c>
      <c r="P160" s="82"/>
      <c r="Q160" s="82"/>
      <c r="R160" s="19">
        <f t="shared" si="9"/>
        <v>4804</v>
      </c>
      <c r="S160" s="20">
        <f t="shared" si="10"/>
        <v>160.13333333333333</v>
      </c>
      <c r="T160" s="20">
        <f t="shared" si="10"/>
        <v>100.13333333333334</v>
      </c>
      <c r="U160" s="119">
        <v>60</v>
      </c>
    </row>
    <row r="161" spans="1:21" s="21" customFormat="1" ht="15">
      <c r="A161" s="19">
        <f t="shared" si="12"/>
        <v>37</v>
      </c>
      <c r="B161" s="19" t="s">
        <v>264</v>
      </c>
      <c r="C161" s="19" t="s">
        <v>109</v>
      </c>
      <c r="D161" s="19"/>
      <c r="E161" s="82"/>
      <c r="F161" s="82">
        <v>710</v>
      </c>
      <c r="G161" s="82">
        <v>410</v>
      </c>
      <c r="H161" s="82">
        <v>755</v>
      </c>
      <c r="I161" s="82">
        <v>455</v>
      </c>
      <c r="J161" s="82">
        <v>728</v>
      </c>
      <c r="K161" s="82">
        <v>428</v>
      </c>
      <c r="L161" s="19">
        <v>810</v>
      </c>
      <c r="M161" s="82">
        <v>510</v>
      </c>
      <c r="N161" s="19">
        <v>823</v>
      </c>
      <c r="O161" s="82">
        <v>523</v>
      </c>
      <c r="P161" s="82"/>
      <c r="Q161" s="82"/>
      <c r="R161" s="19">
        <f t="shared" si="9"/>
        <v>3826</v>
      </c>
      <c r="S161" s="20">
        <f t="shared" si="10"/>
        <v>153.04000000000002</v>
      </c>
      <c r="T161" s="20">
        <f t="shared" si="10"/>
        <v>93.03999999999999</v>
      </c>
      <c r="U161" s="119">
        <v>60</v>
      </c>
    </row>
    <row r="162" spans="1:20" ht="4.5" customHeight="1">
      <c r="A162" s="22" t="s">
        <v>31</v>
      </c>
      <c r="R162" s="19"/>
      <c r="S162" s="20"/>
      <c r="T162" s="20"/>
    </row>
    <row r="163" spans="1:21" s="21" customFormat="1" ht="15.75" customHeight="1">
      <c r="A163" s="19">
        <v>1</v>
      </c>
      <c r="B163" s="19" t="s">
        <v>331</v>
      </c>
      <c r="C163" s="19" t="s">
        <v>223</v>
      </c>
      <c r="D163" s="19"/>
      <c r="E163" s="82"/>
      <c r="F163" s="19"/>
      <c r="G163" s="82"/>
      <c r="H163" s="19"/>
      <c r="I163" s="82"/>
      <c r="J163" s="19">
        <v>1019</v>
      </c>
      <c r="K163" s="82">
        <v>719</v>
      </c>
      <c r="L163" s="82"/>
      <c r="M163" s="82"/>
      <c r="N163" s="19">
        <v>819</v>
      </c>
      <c r="O163" s="82">
        <v>634</v>
      </c>
      <c r="P163" s="82"/>
      <c r="Q163" s="82"/>
      <c r="R163" s="19">
        <f t="shared" si="9"/>
        <v>1838</v>
      </c>
      <c r="S163" s="20">
        <f t="shared" si="10"/>
        <v>183.8</v>
      </c>
      <c r="T163" s="20">
        <f t="shared" si="10"/>
        <v>135.3</v>
      </c>
      <c r="U163" s="119">
        <f aca="true" t="shared" si="13" ref="U163:U171">(190-T163)*0.8</f>
        <v>43.75999999999999</v>
      </c>
    </row>
    <row r="164" spans="1:21" s="21" customFormat="1" ht="15.75" customHeight="1">
      <c r="A164" s="19">
        <f>A163+1</f>
        <v>2</v>
      </c>
      <c r="B164" s="19" t="s">
        <v>330</v>
      </c>
      <c r="C164" s="19" t="s">
        <v>257</v>
      </c>
      <c r="D164" s="19"/>
      <c r="E164" s="82"/>
      <c r="F164" s="19"/>
      <c r="G164" s="82"/>
      <c r="H164" s="19"/>
      <c r="I164" s="82"/>
      <c r="J164" s="19">
        <v>861</v>
      </c>
      <c r="K164" s="82">
        <v>561</v>
      </c>
      <c r="L164" s="82">
        <v>964</v>
      </c>
      <c r="M164" s="82">
        <v>664</v>
      </c>
      <c r="N164" s="82"/>
      <c r="O164" s="82"/>
      <c r="P164" s="82">
        <v>921</v>
      </c>
      <c r="Q164" s="82">
        <v>651</v>
      </c>
      <c r="R164" s="19">
        <f t="shared" si="9"/>
        <v>2746</v>
      </c>
      <c r="S164" s="20">
        <f t="shared" si="10"/>
        <v>183.06666666666666</v>
      </c>
      <c r="T164" s="20">
        <f t="shared" si="10"/>
        <v>125.06666666666668</v>
      </c>
      <c r="U164" s="119">
        <f t="shared" si="13"/>
        <v>51.94666666666666</v>
      </c>
    </row>
    <row r="165" spans="1:21" s="21" customFormat="1" ht="15.75" customHeight="1">
      <c r="A165" s="19">
        <f aca="true" t="shared" si="14" ref="A165:A187">A164+1</f>
        <v>3</v>
      </c>
      <c r="B165" s="19" t="s">
        <v>262</v>
      </c>
      <c r="C165" s="19" t="s">
        <v>67</v>
      </c>
      <c r="D165" s="19"/>
      <c r="E165" s="82"/>
      <c r="F165" s="19">
        <v>1065</v>
      </c>
      <c r="G165" s="19">
        <v>810</v>
      </c>
      <c r="H165" s="19"/>
      <c r="I165" s="82"/>
      <c r="J165" s="19"/>
      <c r="K165" s="82"/>
      <c r="L165" s="82">
        <v>759</v>
      </c>
      <c r="M165" s="82">
        <v>649</v>
      </c>
      <c r="N165" s="82"/>
      <c r="O165" s="82"/>
      <c r="P165" s="82"/>
      <c r="Q165" s="82"/>
      <c r="R165" s="19">
        <f t="shared" si="9"/>
        <v>1824</v>
      </c>
      <c r="S165" s="20">
        <f t="shared" si="10"/>
        <v>182.4</v>
      </c>
      <c r="T165" s="20">
        <f t="shared" si="10"/>
        <v>145.9</v>
      </c>
      <c r="U165" s="119">
        <f t="shared" si="13"/>
        <v>35.279999999999994</v>
      </c>
    </row>
    <row r="166" spans="1:21" s="21" customFormat="1" ht="15.75" customHeight="1">
      <c r="A166" s="19">
        <f t="shared" si="14"/>
        <v>4</v>
      </c>
      <c r="B166" s="19" t="s">
        <v>275</v>
      </c>
      <c r="C166" s="19" t="s">
        <v>15</v>
      </c>
      <c r="D166" s="19"/>
      <c r="E166" s="82"/>
      <c r="F166" s="19">
        <v>886</v>
      </c>
      <c r="G166" s="82">
        <v>606</v>
      </c>
      <c r="H166" s="19"/>
      <c r="I166" s="82"/>
      <c r="J166" s="19">
        <v>867</v>
      </c>
      <c r="K166" s="82">
        <v>592</v>
      </c>
      <c r="L166" s="82"/>
      <c r="M166" s="82"/>
      <c r="N166" s="82">
        <v>952</v>
      </c>
      <c r="O166" s="82">
        <v>672</v>
      </c>
      <c r="P166" s="82"/>
      <c r="Q166" s="82"/>
      <c r="R166" s="19">
        <f t="shared" si="9"/>
        <v>2705</v>
      </c>
      <c r="S166" s="20">
        <f t="shared" si="10"/>
        <v>180.33333333333331</v>
      </c>
      <c r="T166" s="20">
        <f t="shared" si="10"/>
        <v>124.66666666666667</v>
      </c>
      <c r="U166" s="119">
        <f t="shared" si="13"/>
        <v>52.266666666666666</v>
      </c>
    </row>
    <row r="167" spans="1:21" s="21" customFormat="1" ht="15.75" customHeight="1">
      <c r="A167" s="19">
        <f t="shared" si="14"/>
        <v>5</v>
      </c>
      <c r="B167" s="19" t="s">
        <v>310</v>
      </c>
      <c r="C167" s="19" t="s">
        <v>159</v>
      </c>
      <c r="D167" s="19"/>
      <c r="E167" s="82"/>
      <c r="F167" s="19"/>
      <c r="G167" s="82"/>
      <c r="H167" s="19">
        <v>909</v>
      </c>
      <c r="I167" s="82">
        <v>609</v>
      </c>
      <c r="J167" s="19">
        <v>860</v>
      </c>
      <c r="K167" s="82">
        <v>585</v>
      </c>
      <c r="L167" s="82"/>
      <c r="M167" s="82"/>
      <c r="N167" s="82">
        <v>920</v>
      </c>
      <c r="O167" s="82">
        <v>640</v>
      </c>
      <c r="P167" s="82"/>
      <c r="Q167" s="82"/>
      <c r="R167" s="19">
        <f t="shared" si="9"/>
        <v>2689</v>
      </c>
      <c r="S167" s="20">
        <f t="shared" si="10"/>
        <v>179.26666666666668</v>
      </c>
      <c r="T167" s="20">
        <f t="shared" si="10"/>
        <v>122.26666666666668</v>
      </c>
      <c r="U167" s="119">
        <f t="shared" si="13"/>
        <v>54.18666666666666</v>
      </c>
    </row>
    <row r="168" spans="1:21" s="21" customFormat="1" ht="15.75" customHeight="1">
      <c r="A168" s="19">
        <f t="shared" si="14"/>
        <v>6</v>
      </c>
      <c r="B168" s="19" t="s">
        <v>133</v>
      </c>
      <c r="C168" s="19" t="s">
        <v>128</v>
      </c>
      <c r="D168" s="19">
        <v>894</v>
      </c>
      <c r="E168" s="82">
        <v>594</v>
      </c>
      <c r="F168" s="19"/>
      <c r="G168" s="82"/>
      <c r="H168" s="19"/>
      <c r="I168" s="82"/>
      <c r="J168" s="19"/>
      <c r="K168" s="82"/>
      <c r="L168" s="82"/>
      <c r="M168" s="82"/>
      <c r="N168" s="82"/>
      <c r="O168" s="82"/>
      <c r="P168" s="82"/>
      <c r="Q168" s="82"/>
      <c r="R168" s="19">
        <f t="shared" si="9"/>
        <v>894</v>
      </c>
      <c r="S168" s="20">
        <f t="shared" si="10"/>
        <v>178.8</v>
      </c>
      <c r="T168" s="20">
        <f t="shared" si="10"/>
        <v>118.8</v>
      </c>
      <c r="U168" s="119">
        <f t="shared" si="13"/>
        <v>56.96000000000001</v>
      </c>
    </row>
    <row r="169" spans="1:21" s="21" customFormat="1" ht="15.75" customHeight="1">
      <c r="A169" s="19">
        <f t="shared" si="14"/>
        <v>7</v>
      </c>
      <c r="B169" s="19" t="s">
        <v>260</v>
      </c>
      <c r="C169" s="19" t="s">
        <v>233</v>
      </c>
      <c r="D169" s="19"/>
      <c r="E169" s="82"/>
      <c r="F169" s="19">
        <v>871</v>
      </c>
      <c r="G169" s="82">
        <v>706</v>
      </c>
      <c r="H169" s="19"/>
      <c r="I169" s="82"/>
      <c r="J169" s="19">
        <v>808</v>
      </c>
      <c r="K169" s="82">
        <v>613</v>
      </c>
      <c r="L169" s="82"/>
      <c r="M169" s="82"/>
      <c r="N169" s="82"/>
      <c r="O169" s="82"/>
      <c r="P169" s="82">
        <v>978</v>
      </c>
      <c r="Q169" s="82">
        <v>748</v>
      </c>
      <c r="R169" s="19">
        <f t="shared" si="9"/>
        <v>2657</v>
      </c>
      <c r="S169" s="20">
        <f t="shared" si="10"/>
        <v>177.13333333333333</v>
      </c>
      <c r="T169" s="20">
        <f t="shared" si="10"/>
        <v>137.8</v>
      </c>
      <c r="U169" s="119">
        <f>(190-T169)*0.8</f>
        <v>41.75999999999999</v>
      </c>
    </row>
    <row r="170" spans="1:21" s="21" customFormat="1" ht="15.75" customHeight="1">
      <c r="A170" s="19">
        <f t="shared" si="14"/>
        <v>8</v>
      </c>
      <c r="B170" s="19" t="s">
        <v>271</v>
      </c>
      <c r="C170" s="19" t="s">
        <v>225</v>
      </c>
      <c r="D170" s="19"/>
      <c r="E170" s="82"/>
      <c r="F170" s="19">
        <v>874</v>
      </c>
      <c r="G170" s="82">
        <v>574</v>
      </c>
      <c r="H170" s="19"/>
      <c r="I170" s="82"/>
      <c r="J170" s="19"/>
      <c r="K170" s="82"/>
      <c r="L170" s="82"/>
      <c r="M170" s="82"/>
      <c r="N170" s="82"/>
      <c r="O170" s="82"/>
      <c r="P170" s="82"/>
      <c r="Q170" s="82"/>
      <c r="R170" s="19">
        <f t="shared" si="9"/>
        <v>874</v>
      </c>
      <c r="S170" s="20">
        <f t="shared" si="10"/>
        <v>174.8</v>
      </c>
      <c r="T170" s="20">
        <f t="shared" si="10"/>
        <v>114.8</v>
      </c>
      <c r="U170" s="119">
        <f t="shared" si="13"/>
        <v>60.160000000000004</v>
      </c>
    </row>
    <row r="171" spans="1:21" s="21" customFormat="1" ht="15.75" customHeight="1">
      <c r="A171" s="19">
        <f t="shared" si="14"/>
        <v>9</v>
      </c>
      <c r="B171" s="19" t="s">
        <v>148</v>
      </c>
      <c r="C171" s="19" t="s">
        <v>159</v>
      </c>
      <c r="D171" s="19">
        <v>887</v>
      </c>
      <c r="E171" s="82">
        <v>652</v>
      </c>
      <c r="F171" s="19">
        <v>850</v>
      </c>
      <c r="G171" s="82">
        <v>610</v>
      </c>
      <c r="H171" s="19"/>
      <c r="I171" s="82"/>
      <c r="J171" s="19"/>
      <c r="K171" s="82"/>
      <c r="L171" s="19">
        <v>870</v>
      </c>
      <c r="M171" s="82">
        <v>615</v>
      </c>
      <c r="N171" s="82"/>
      <c r="O171" s="82"/>
      <c r="P171" s="82"/>
      <c r="Q171" s="82"/>
      <c r="R171" s="19">
        <f t="shared" si="9"/>
        <v>2607</v>
      </c>
      <c r="S171" s="20">
        <f t="shared" si="10"/>
        <v>173.8</v>
      </c>
      <c r="T171" s="20">
        <f t="shared" si="10"/>
        <v>125.13333333333333</v>
      </c>
      <c r="U171" s="119">
        <f t="shared" si="13"/>
        <v>51.893333333333345</v>
      </c>
    </row>
    <row r="172" spans="1:21" s="21" customFormat="1" ht="15.75" customHeight="1">
      <c r="A172" s="19">
        <f t="shared" si="14"/>
        <v>10</v>
      </c>
      <c r="B172" s="19" t="s">
        <v>296</v>
      </c>
      <c r="C172" s="19" t="s">
        <v>237</v>
      </c>
      <c r="D172" s="19"/>
      <c r="E172" s="82"/>
      <c r="F172" s="19"/>
      <c r="G172" s="82"/>
      <c r="H172" s="19">
        <v>856</v>
      </c>
      <c r="I172" s="82">
        <v>556</v>
      </c>
      <c r="J172" s="19"/>
      <c r="K172" s="82"/>
      <c r="L172" s="82"/>
      <c r="M172" s="82"/>
      <c r="N172" s="82"/>
      <c r="O172" s="82"/>
      <c r="P172" s="82"/>
      <c r="Q172" s="82"/>
      <c r="R172" s="19">
        <f t="shared" si="9"/>
        <v>856</v>
      </c>
      <c r="S172" s="20">
        <f t="shared" si="10"/>
        <v>171.2</v>
      </c>
      <c r="T172" s="20">
        <f t="shared" si="10"/>
        <v>111.2</v>
      </c>
      <c r="U172" s="119">
        <v>60</v>
      </c>
    </row>
    <row r="173" spans="1:21" s="21" customFormat="1" ht="15.75" customHeight="1">
      <c r="A173" s="19">
        <f t="shared" si="14"/>
        <v>11</v>
      </c>
      <c r="B173" s="19" t="s">
        <v>314</v>
      </c>
      <c r="C173" s="19" t="s">
        <v>224</v>
      </c>
      <c r="D173" s="19"/>
      <c r="E173" s="82"/>
      <c r="F173" s="19"/>
      <c r="G173" s="82"/>
      <c r="H173" s="19"/>
      <c r="I173" s="82"/>
      <c r="J173" s="19">
        <v>846</v>
      </c>
      <c r="K173" s="82">
        <v>546</v>
      </c>
      <c r="L173" s="82"/>
      <c r="M173" s="82"/>
      <c r="N173" s="82"/>
      <c r="O173" s="82"/>
      <c r="P173" s="82"/>
      <c r="Q173" s="82"/>
      <c r="R173" s="19">
        <f t="shared" si="9"/>
        <v>846</v>
      </c>
      <c r="S173" s="20">
        <f t="shared" si="10"/>
        <v>169.2</v>
      </c>
      <c r="T173" s="20">
        <f t="shared" si="10"/>
        <v>109.2</v>
      </c>
      <c r="U173" s="119">
        <v>60</v>
      </c>
    </row>
    <row r="174" spans="1:21" s="21" customFormat="1" ht="15.75" customHeight="1">
      <c r="A174" s="19">
        <f t="shared" si="14"/>
        <v>12</v>
      </c>
      <c r="B174" s="19" t="s">
        <v>57</v>
      </c>
      <c r="C174" s="19" t="s">
        <v>13</v>
      </c>
      <c r="D174" s="19">
        <v>852</v>
      </c>
      <c r="E174" s="82">
        <v>552</v>
      </c>
      <c r="F174" s="19">
        <v>831</v>
      </c>
      <c r="G174" s="82">
        <v>531</v>
      </c>
      <c r="H174" s="19"/>
      <c r="I174" s="82"/>
      <c r="J174" s="19"/>
      <c r="K174" s="82"/>
      <c r="L174" s="82"/>
      <c r="M174" s="82"/>
      <c r="N174" s="82"/>
      <c r="O174" s="82"/>
      <c r="P174" s="82"/>
      <c r="Q174" s="82"/>
      <c r="R174" s="19">
        <f t="shared" si="9"/>
        <v>1683</v>
      </c>
      <c r="S174" s="20">
        <f t="shared" si="10"/>
        <v>168.3</v>
      </c>
      <c r="T174" s="20">
        <f t="shared" si="10"/>
        <v>108.3</v>
      </c>
      <c r="U174" s="119">
        <v>60</v>
      </c>
    </row>
    <row r="175" spans="1:21" s="21" customFormat="1" ht="15.75" customHeight="1">
      <c r="A175" s="19">
        <f t="shared" si="14"/>
        <v>13</v>
      </c>
      <c r="B175" s="19" t="s">
        <v>309</v>
      </c>
      <c r="C175" s="19" t="s">
        <v>68</v>
      </c>
      <c r="D175" s="19"/>
      <c r="E175" s="82"/>
      <c r="F175" s="19"/>
      <c r="G175" s="82"/>
      <c r="H175" s="19">
        <v>835</v>
      </c>
      <c r="I175" s="82">
        <v>535</v>
      </c>
      <c r="J175" s="19"/>
      <c r="K175" s="82"/>
      <c r="L175" s="82"/>
      <c r="M175" s="82"/>
      <c r="N175" s="82"/>
      <c r="O175" s="82"/>
      <c r="P175" s="82"/>
      <c r="Q175" s="82"/>
      <c r="R175" s="19">
        <f t="shared" si="9"/>
        <v>835</v>
      </c>
      <c r="S175" s="20">
        <f t="shared" si="10"/>
        <v>167</v>
      </c>
      <c r="T175" s="20">
        <f t="shared" si="10"/>
        <v>107</v>
      </c>
      <c r="U175" s="119">
        <v>60</v>
      </c>
    </row>
    <row r="176" spans="1:21" s="21" customFormat="1" ht="15.75" customHeight="1">
      <c r="A176" s="19">
        <f t="shared" si="14"/>
        <v>14</v>
      </c>
      <c r="B176" s="19" t="s">
        <v>320</v>
      </c>
      <c r="C176" s="19" t="s">
        <v>195</v>
      </c>
      <c r="D176" s="19"/>
      <c r="E176" s="82"/>
      <c r="F176" s="19"/>
      <c r="G176" s="82"/>
      <c r="H176" s="19"/>
      <c r="I176" s="82"/>
      <c r="J176" s="82">
        <v>783</v>
      </c>
      <c r="K176" s="82">
        <v>483</v>
      </c>
      <c r="L176" s="19">
        <v>890</v>
      </c>
      <c r="M176" s="82">
        <v>590</v>
      </c>
      <c r="N176" s="19">
        <v>825</v>
      </c>
      <c r="O176" s="82">
        <v>525</v>
      </c>
      <c r="P176" s="82"/>
      <c r="Q176" s="82"/>
      <c r="R176" s="19">
        <f t="shared" si="9"/>
        <v>2498</v>
      </c>
      <c r="S176" s="20">
        <f t="shared" si="10"/>
        <v>166.53333333333333</v>
      </c>
      <c r="T176" s="20">
        <f t="shared" si="10"/>
        <v>106.53333333333333</v>
      </c>
      <c r="U176" s="119">
        <v>60</v>
      </c>
    </row>
    <row r="177" spans="1:21" s="21" customFormat="1" ht="15.75" customHeight="1">
      <c r="A177" s="19">
        <f t="shared" si="14"/>
        <v>15</v>
      </c>
      <c r="B177" s="19" t="s">
        <v>126</v>
      </c>
      <c r="C177" s="19" t="s">
        <v>130</v>
      </c>
      <c r="D177" s="19">
        <v>830</v>
      </c>
      <c r="E177" s="82">
        <v>530</v>
      </c>
      <c r="F177" s="19"/>
      <c r="G177" s="82"/>
      <c r="H177" s="19"/>
      <c r="I177" s="82"/>
      <c r="J177" s="19"/>
      <c r="K177" s="82"/>
      <c r="L177" s="82"/>
      <c r="M177" s="82"/>
      <c r="N177" s="82"/>
      <c r="O177" s="82"/>
      <c r="P177" s="82"/>
      <c r="Q177" s="82"/>
      <c r="R177" s="19">
        <f t="shared" si="9"/>
        <v>830</v>
      </c>
      <c r="S177" s="20">
        <f t="shared" si="10"/>
        <v>166</v>
      </c>
      <c r="T177" s="20">
        <f t="shared" si="10"/>
        <v>106</v>
      </c>
      <c r="U177" s="119">
        <v>60</v>
      </c>
    </row>
    <row r="178" spans="1:21" s="21" customFormat="1" ht="15.75" customHeight="1">
      <c r="A178" s="19">
        <f t="shared" si="14"/>
        <v>16</v>
      </c>
      <c r="B178" s="19" t="s">
        <v>180</v>
      </c>
      <c r="C178" s="19" t="s">
        <v>195</v>
      </c>
      <c r="D178" s="19">
        <v>849</v>
      </c>
      <c r="E178" s="82">
        <v>549</v>
      </c>
      <c r="F178" s="19">
        <v>776</v>
      </c>
      <c r="G178" s="82">
        <v>476</v>
      </c>
      <c r="H178" s="19">
        <v>863</v>
      </c>
      <c r="I178" s="82">
        <v>563</v>
      </c>
      <c r="J178" s="19"/>
      <c r="K178" s="82"/>
      <c r="L178" s="82"/>
      <c r="M178" s="82"/>
      <c r="N178" s="82"/>
      <c r="O178" s="82"/>
      <c r="P178" s="82"/>
      <c r="Q178" s="82"/>
      <c r="R178" s="19">
        <f t="shared" si="9"/>
        <v>2488</v>
      </c>
      <c r="S178" s="20">
        <f t="shared" si="10"/>
        <v>165.86666666666667</v>
      </c>
      <c r="T178" s="20">
        <f t="shared" si="10"/>
        <v>105.86666666666667</v>
      </c>
      <c r="U178" s="119">
        <v>60</v>
      </c>
    </row>
    <row r="179" spans="1:21" s="21" customFormat="1" ht="15.75" customHeight="1">
      <c r="A179" s="19">
        <f t="shared" si="14"/>
        <v>17</v>
      </c>
      <c r="B179" s="19" t="s">
        <v>48</v>
      </c>
      <c r="C179" s="19" t="s">
        <v>15</v>
      </c>
      <c r="D179" s="19">
        <v>826</v>
      </c>
      <c r="E179" s="82">
        <v>526</v>
      </c>
      <c r="F179" s="19"/>
      <c r="G179" s="82"/>
      <c r="H179" s="19">
        <v>843</v>
      </c>
      <c r="I179" s="82">
        <v>543</v>
      </c>
      <c r="J179" s="19"/>
      <c r="K179" s="82"/>
      <c r="L179" s="19">
        <v>804</v>
      </c>
      <c r="M179" s="82">
        <v>504</v>
      </c>
      <c r="N179" s="82"/>
      <c r="O179" s="82"/>
      <c r="P179" s="82"/>
      <c r="Q179" s="82"/>
      <c r="R179" s="19">
        <f t="shared" si="9"/>
        <v>2473</v>
      </c>
      <c r="S179" s="20">
        <f t="shared" si="10"/>
        <v>164.86666666666667</v>
      </c>
      <c r="T179" s="20">
        <f t="shared" si="10"/>
        <v>104.86666666666667</v>
      </c>
      <c r="U179" s="119">
        <v>60</v>
      </c>
    </row>
    <row r="180" spans="1:21" s="21" customFormat="1" ht="15.75" customHeight="1">
      <c r="A180" s="19">
        <f t="shared" si="14"/>
        <v>18</v>
      </c>
      <c r="B180" s="19" t="s">
        <v>119</v>
      </c>
      <c r="C180" s="19" t="s">
        <v>109</v>
      </c>
      <c r="D180" s="19">
        <v>823</v>
      </c>
      <c r="E180" s="82">
        <v>523</v>
      </c>
      <c r="F180" s="19"/>
      <c r="G180" s="82"/>
      <c r="H180" s="19"/>
      <c r="I180" s="82"/>
      <c r="J180" s="19"/>
      <c r="K180" s="82"/>
      <c r="L180" s="82"/>
      <c r="M180" s="82"/>
      <c r="N180" s="82"/>
      <c r="O180" s="82"/>
      <c r="P180" s="82"/>
      <c r="Q180" s="82"/>
      <c r="R180" s="19">
        <f t="shared" si="9"/>
        <v>823</v>
      </c>
      <c r="S180" s="20">
        <f t="shared" si="10"/>
        <v>164.6</v>
      </c>
      <c r="T180" s="20">
        <f t="shared" si="10"/>
        <v>104.6</v>
      </c>
      <c r="U180" s="119">
        <v>60</v>
      </c>
    </row>
    <row r="181" spans="1:21" s="21" customFormat="1" ht="15.75" customHeight="1">
      <c r="A181" s="19">
        <f t="shared" si="14"/>
        <v>19</v>
      </c>
      <c r="B181" s="19" t="s">
        <v>344</v>
      </c>
      <c r="C181" s="19" t="s">
        <v>165</v>
      </c>
      <c r="D181" s="19"/>
      <c r="E181" s="82"/>
      <c r="F181" s="19"/>
      <c r="G181" s="82"/>
      <c r="H181" s="19"/>
      <c r="I181" s="82"/>
      <c r="J181" s="19"/>
      <c r="K181" s="82"/>
      <c r="L181" s="82"/>
      <c r="M181" s="82"/>
      <c r="N181" s="82">
        <v>795</v>
      </c>
      <c r="O181" s="82">
        <v>495</v>
      </c>
      <c r="P181" s="82"/>
      <c r="Q181" s="82"/>
      <c r="R181" s="19">
        <f t="shared" si="9"/>
        <v>795</v>
      </c>
      <c r="S181" s="20">
        <f t="shared" si="10"/>
        <v>159</v>
      </c>
      <c r="T181" s="20">
        <f t="shared" si="10"/>
        <v>99</v>
      </c>
      <c r="U181" s="119">
        <v>60</v>
      </c>
    </row>
    <row r="182" spans="1:21" s="21" customFormat="1" ht="15.75" customHeight="1">
      <c r="A182" s="19">
        <f t="shared" si="14"/>
        <v>20</v>
      </c>
      <c r="B182" s="19" t="s">
        <v>240</v>
      </c>
      <c r="C182" s="19" t="s">
        <v>237</v>
      </c>
      <c r="D182" s="19">
        <v>827</v>
      </c>
      <c r="E182" s="82">
        <v>527</v>
      </c>
      <c r="F182" s="19"/>
      <c r="G182" s="82"/>
      <c r="H182" s="19"/>
      <c r="I182" s="82"/>
      <c r="J182" s="82">
        <v>753</v>
      </c>
      <c r="K182" s="82">
        <v>453</v>
      </c>
      <c r="L182" s="82"/>
      <c r="M182" s="82"/>
      <c r="N182" s="82">
        <v>772</v>
      </c>
      <c r="O182" s="82">
        <v>472</v>
      </c>
      <c r="P182" s="82"/>
      <c r="Q182" s="82"/>
      <c r="R182" s="19">
        <f t="shared" si="9"/>
        <v>2352</v>
      </c>
      <c r="S182" s="20">
        <f t="shared" si="10"/>
        <v>156.8</v>
      </c>
      <c r="T182" s="20">
        <f t="shared" si="10"/>
        <v>96.8</v>
      </c>
      <c r="U182" s="119">
        <v>60</v>
      </c>
    </row>
    <row r="183" spans="1:21" s="21" customFormat="1" ht="15">
      <c r="A183" s="19">
        <f t="shared" si="14"/>
        <v>21</v>
      </c>
      <c r="B183" s="19" t="s">
        <v>269</v>
      </c>
      <c r="C183" s="19" t="s">
        <v>130</v>
      </c>
      <c r="D183" s="19"/>
      <c r="E183" s="82"/>
      <c r="F183" s="82">
        <v>767</v>
      </c>
      <c r="G183" s="82">
        <v>467</v>
      </c>
      <c r="H183" s="19"/>
      <c r="I183" s="82"/>
      <c r="J183" s="19"/>
      <c r="K183" s="82"/>
      <c r="L183" s="82"/>
      <c r="M183" s="82"/>
      <c r="N183" s="82"/>
      <c r="O183" s="82"/>
      <c r="P183" s="82"/>
      <c r="Q183" s="82"/>
      <c r="R183" s="19">
        <f t="shared" si="9"/>
        <v>767</v>
      </c>
      <c r="S183" s="20">
        <f t="shared" si="10"/>
        <v>153.4</v>
      </c>
      <c r="T183" s="20">
        <f t="shared" si="10"/>
        <v>93.4</v>
      </c>
      <c r="U183" s="119">
        <v>60</v>
      </c>
    </row>
    <row r="184" spans="1:21" s="21" customFormat="1" ht="15">
      <c r="A184" s="19">
        <f t="shared" si="14"/>
        <v>22</v>
      </c>
      <c r="B184" s="19" t="s">
        <v>315</v>
      </c>
      <c r="C184" s="19" t="s">
        <v>110</v>
      </c>
      <c r="D184" s="19"/>
      <c r="E184" s="82"/>
      <c r="F184" s="82"/>
      <c r="G184" s="82"/>
      <c r="H184" s="19"/>
      <c r="I184" s="82"/>
      <c r="J184" s="82">
        <v>756</v>
      </c>
      <c r="K184" s="82">
        <v>456</v>
      </c>
      <c r="L184" s="82"/>
      <c r="M184" s="82"/>
      <c r="N184" s="82">
        <v>775</v>
      </c>
      <c r="O184" s="82">
        <v>475</v>
      </c>
      <c r="P184" s="82"/>
      <c r="Q184" s="82"/>
      <c r="R184" s="19">
        <f t="shared" si="9"/>
        <v>1531</v>
      </c>
      <c r="S184" s="20">
        <f t="shared" si="10"/>
        <v>153.1</v>
      </c>
      <c r="T184" s="20">
        <f t="shared" si="10"/>
        <v>93.1</v>
      </c>
      <c r="U184" s="119">
        <v>60</v>
      </c>
    </row>
    <row r="185" spans="1:21" s="21" customFormat="1" ht="15">
      <c r="A185" s="19">
        <f t="shared" si="14"/>
        <v>23</v>
      </c>
      <c r="B185" s="19" t="s">
        <v>323</v>
      </c>
      <c r="C185" s="19" t="s">
        <v>258</v>
      </c>
      <c r="D185" s="19"/>
      <c r="E185" s="82"/>
      <c r="F185" s="82"/>
      <c r="G185" s="82"/>
      <c r="H185" s="19"/>
      <c r="I185" s="82"/>
      <c r="J185" s="82">
        <v>747</v>
      </c>
      <c r="K185" s="82">
        <v>447</v>
      </c>
      <c r="L185" s="82"/>
      <c r="M185" s="82"/>
      <c r="N185" s="82"/>
      <c r="O185" s="82"/>
      <c r="P185" s="82"/>
      <c r="Q185" s="82"/>
      <c r="R185" s="19">
        <f t="shared" si="9"/>
        <v>747</v>
      </c>
      <c r="S185" s="20">
        <f t="shared" si="10"/>
        <v>149.4</v>
      </c>
      <c r="T185" s="20">
        <f t="shared" si="10"/>
        <v>89.4</v>
      </c>
      <c r="U185" s="119">
        <v>60</v>
      </c>
    </row>
    <row r="186" spans="1:21" s="21" customFormat="1" ht="15">
      <c r="A186" s="19">
        <f t="shared" si="14"/>
        <v>24</v>
      </c>
      <c r="B186" s="19" t="s">
        <v>273</v>
      </c>
      <c r="C186" s="19" t="s">
        <v>110</v>
      </c>
      <c r="D186" s="19"/>
      <c r="E186" s="82"/>
      <c r="F186" s="82">
        <v>721</v>
      </c>
      <c r="G186" s="82">
        <v>421</v>
      </c>
      <c r="H186" s="19"/>
      <c r="I186" s="82"/>
      <c r="J186" s="19"/>
      <c r="K186" s="82"/>
      <c r="L186" s="82"/>
      <c r="M186" s="82"/>
      <c r="N186" s="82"/>
      <c r="O186" s="82"/>
      <c r="P186" s="82"/>
      <c r="Q186" s="82"/>
      <c r="R186" s="19">
        <f t="shared" si="9"/>
        <v>721</v>
      </c>
      <c r="S186" s="20">
        <f t="shared" si="10"/>
        <v>144.2</v>
      </c>
      <c r="T186" s="20">
        <f t="shared" si="10"/>
        <v>84.2</v>
      </c>
      <c r="U186" s="119">
        <v>60</v>
      </c>
    </row>
    <row r="187" spans="1:21" s="21" customFormat="1" ht="15">
      <c r="A187" s="19">
        <f t="shared" si="14"/>
        <v>25</v>
      </c>
      <c r="B187" s="19" t="s">
        <v>300</v>
      </c>
      <c r="C187" s="19" t="s">
        <v>74</v>
      </c>
      <c r="D187" s="19"/>
      <c r="E187" s="82"/>
      <c r="F187" s="19"/>
      <c r="G187" s="82"/>
      <c r="H187" s="82">
        <v>709</v>
      </c>
      <c r="I187" s="82">
        <v>409</v>
      </c>
      <c r="J187" s="19"/>
      <c r="K187" s="82"/>
      <c r="L187" s="82"/>
      <c r="M187" s="82"/>
      <c r="N187" s="82"/>
      <c r="O187" s="82"/>
      <c r="P187" s="82"/>
      <c r="Q187" s="82"/>
      <c r="R187" s="19">
        <f t="shared" si="9"/>
        <v>709</v>
      </c>
      <c r="S187" s="20">
        <f t="shared" si="10"/>
        <v>141.8</v>
      </c>
      <c r="T187" s="20">
        <f t="shared" si="10"/>
        <v>81.8</v>
      </c>
      <c r="U187" s="119">
        <v>60</v>
      </c>
    </row>
  </sheetData>
  <mergeCells count="1">
    <mergeCell ref="D1:S2"/>
  </mergeCells>
  <conditionalFormatting sqref="B122:C137 C149 B5:C120 C173:C174">
    <cfRule type="cellIs" priority="1" dxfId="4" operator="between" stopIfTrue="1">
      <formula>800</formula>
      <formula>899</formula>
    </cfRule>
    <cfRule type="cellIs" priority="2" dxfId="2" operator="between" stopIfTrue="1">
      <formula>900</formula>
      <formula>999</formula>
    </cfRule>
  </conditionalFormatting>
  <conditionalFormatting sqref="S204:T217 S188:T202 S122:T124">
    <cfRule type="cellIs" priority="3" dxfId="2" operator="between" stopIfTrue="1">
      <formula>200</formula>
      <formula>299</formula>
    </cfRule>
  </conditionalFormatting>
  <conditionalFormatting sqref="D204:Q217 D122:Q124 D5:Q120 D125:K125 D126:Q202">
    <cfRule type="cellIs" priority="4" dxfId="4" operator="between" stopIfTrue="1">
      <formula>900</formula>
      <formula>999</formula>
    </cfRule>
    <cfRule type="cellIs" priority="5" dxfId="2" operator="between" stopIfTrue="1">
      <formula>1000</formula>
      <formula>1099</formula>
    </cfRule>
    <cfRule type="cellIs" priority="6" dxfId="5" operator="between" stopIfTrue="1">
      <formula>1100</formula>
      <formula>1199</formula>
    </cfRule>
  </conditionalFormatting>
  <printOptions/>
  <pageMargins left="0.56" right="0.17" top="0.28" bottom="0.28" header="0.28" footer="0.2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9"/>
  <sheetViews>
    <sheetView zoomScale="75" zoomScaleNormal="75" workbookViewId="0" topLeftCell="A1">
      <selection activeCell="Z1" sqref="Z1"/>
    </sheetView>
  </sheetViews>
  <sheetFormatPr defaultColWidth="9.140625" defaultRowHeight="12.75"/>
  <cols>
    <col min="1" max="1" width="9.140625" style="39" customWidth="1"/>
    <col min="2" max="2" width="10.7109375" style="39" customWidth="1"/>
    <col min="3" max="3" width="5.28125" style="146" customWidth="1"/>
    <col min="4" max="4" width="5.28125" style="61" hidden="1" customWidth="1"/>
    <col min="5" max="5" width="8.28125" style="22" bestFit="1" customWidth="1"/>
    <col min="6" max="6" width="6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6.00390625" style="22" customWidth="1"/>
    <col min="11" max="11" width="8.57421875" style="22" customWidth="1"/>
    <col min="12" max="12" width="5.28125" style="83" hidden="1" customWidth="1"/>
    <col min="13" max="13" width="7.57421875" style="22" customWidth="1"/>
    <col min="14" max="14" width="5.8515625" style="22" customWidth="1"/>
    <col min="15" max="15" width="8.7109375" style="22" customWidth="1"/>
    <col min="16" max="16" width="5.28125" style="83" hidden="1" customWidth="1"/>
    <col min="17" max="17" width="8.28125" style="22" customWidth="1"/>
    <col min="18" max="18" width="6.140625" style="22" customWidth="1"/>
    <col min="19" max="19" width="9.00390625" style="22" customWidth="1"/>
    <col min="20" max="20" width="5.28125" style="83" hidden="1" customWidth="1"/>
    <col min="21" max="21" width="8.28125" style="22" customWidth="1"/>
    <col min="22" max="22" width="5.7109375" style="22" customWidth="1"/>
    <col min="23" max="23" width="8.7109375" style="22" customWidth="1"/>
    <col min="24" max="24" width="10.00390625" style="22" customWidth="1"/>
    <col min="25" max="25" width="5.8515625" style="83" hidden="1" customWidth="1"/>
    <col min="26" max="26" width="11.28125" style="22" customWidth="1"/>
    <col min="27" max="27" width="9.421875" style="138" customWidth="1"/>
    <col min="28" max="28" width="13.00390625" style="22" bestFit="1" customWidth="1"/>
    <col min="29" max="16384" width="9.140625" style="22" customWidth="1"/>
  </cols>
  <sheetData>
    <row r="1" spans="1:28" s="40" customFormat="1" ht="0.75" customHeight="1">
      <c r="A1" s="207" t="s">
        <v>360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4"/>
      <c r="W1" s="25"/>
      <c r="Y1" s="57"/>
      <c r="Z1" s="41"/>
      <c r="AA1" s="139"/>
      <c r="AB1" s="25"/>
    </row>
    <row r="2" spans="1:28" s="40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4"/>
      <c r="W2" s="25"/>
      <c r="Y2" s="57"/>
      <c r="Z2" s="41"/>
      <c r="AA2" s="139"/>
      <c r="AB2" s="25"/>
    </row>
    <row r="3" spans="1:28" s="40" customFormat="1" ht="23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5"/>
      <c r="W3" s="25"/>
      <c r="Y3" s="57"/>
      <c r="Z3" s="41"/>
      <c r="AA3" s="139"/>
      <c r="AB3" s="25"/>
    </row>
    <row r="4" spans="1:28" s="31" customFormat="1" ht="15.75" customHeight="1">
      <c r="A4" s="209" t="s">
        <v>0</v>
      </c>
      <c r="B4" s="210"/>
      <c r="C4" s="147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140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48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141" t="s">
        <v>43</v>
      </c>
      <c r="AB5" s="35" t="s">
        <v>12</v>
      </c>
    </row>
    <row r="6" spans="1:28" s="38" customFormat="1" ht="42" customHeight="1">
      <c r="A6" s="217" t="s">
        <v>132</v>
      </c>
      <c r="B6" s="218"/>
      <c r="C6" s="149">
        <f>SUM(C7:C9)</f>
        <v>65</v>
      </c>
      <c r="D6" s="62">
        <f>SUM(D7:D9)</f>
        <v>438</v>
      </c>
      <c r="E6" s="63">
        <f>SUM(E7:E9)</f>
        <v>503</v>
      </c>
      <c r="F6" s="46">
        <f>E26</f>
        <v>534</v>
      </c>
      <c r="G6" s="64" t="str">
        <f>A26</f>
        <v>Meistrid&amp; Margarita</v>
      </c>
      <c r="H6" s="62">
        <f>SUM(H7:H9)</f>
        <v>496</v>
      </c>
      <c r="I6" s="49">
        <f>SUM(I7:I9)</f>
        <v>561</v>
      </c>
      <c r="J6" s="49">
        <f>I22</f>
        <v>575</v>
      </c>
      <c r="K6" s="42" t="str">
        <f>A22</f>
        <v>KUNDA TRANS</v>
      </c>
      <c r="L6" s="58">
        <f>SUM(L7:L9)</f>
        <v>478</v>
      </c>
      <c r="M6" s="45">
        <f>SUM(M7:M9)</f>
        <v>543</v>
      </c>
      <c r="N6" s="45">
        <f>M18</f>
        <v>570</v>
      </c>
      <c r="O6" s="42" t="str">
        <f>A18</f>
        <v>Fulltrade</v>
      </c>
      <c r="P6" s="45">
        <f>SUM(P7:P9)</f>
        <v>491</v>
      </c>
      <c r="Q6" s="45">
        <f>SUM(Q7:Q9)</f>
        <v>556</v>
      </c>
      <c r="R6" s="45">
        <f>Q14</f>
        <v>556</v>
      </c>
      <c r="S6" s="42" t="str">
        <f>A14</f>
        <v>NOOBEL</v>
      </c>
      <c r="T6" s="133">
        <f>SUM(T7:T9)</f>
        <v>476</v>
      </c>
      <c r="U6" s="45">
        <f>SUM(U7:U9)</f>
        <v>541</v>
      </c>
      <c r="V6" s="45">
        <f>U10</f>
        <v>534</v>
      </c>
      <c r="W6" s="42" t="str">
        <f>A10</f>
        <v>Telfer Grupp</v>
      </c>
      <c r="X6" s="36">
        <f aca="true" t="shared" si="0" ref="X6:X29">E6+I6+M6+Q6+U6</f>
        <v>2704</v>
      </c>
      <c r="Y6" s="105">
        <f>SUM(Y7:Y9)</f>
        <v>2379</v>
      </c>
      <c r="Z6" s="37">
        <f>AVERAGE(Z7,Z8,Z9)</f>
        <v>180.26666666666665</v>
      </c>
      <c r="AA6" s="142">
        <f>AVERAGE(AA7,AA8,AA9)</f>
        <v>158.6</v>
      </c>
      <c r="AB6" s="219">
        <f>F7+J7+N7+R7+V7</f>
        <v>1.5</v>
      </c>
    </row>
    <row r="7" spans="1:28" s="38" customFormat="1" ht="15.75" customHeight="1">
      <c r="A7" s="222" t="s">
        <v>117</v>
      </c>
      <c r="B7" s="223"/>
      <c r="C7" s="150">
        <v>23</v>
      </c>
      <c r="D7" s="59">
        <v>128</v>
      </c>
      <c r="E7" s="50">
        <f>D7+C7</f>
        <v>151</v>
      </c>
      <c r="F7" s="224">
        <v>0</v>
      </c>
      <c r="G7" s="225"/>
      <c r="H7" s="97">
        <v>161</v>
      </c>
      <c r="I7" s="46">
        <f>H7+C7</f>
        <v>184</v>
      </c>
      <c r="J7" s="224">
        <v>0</v>
      </c>
      <c r="K7" s="225"/>
      <c r="L7" s="97">
        <v>170</v>
      </c>
      <c r="M7" s="50">
        <f>L7+C7</f>
        <v>193</v>
      </c>
      <c r="N7" s="224">
        <v>0</v>
      </c>
      <c r="O7" s="225"/>
      <c r="P7" s="97">
        <v>144</v>
      </c>
      <c r="Q7" s="50">
        <f>P7+C7</f>
        <v>167</v>
      </c>
      <c r="R7" s="224">
        <v>0.5</v>
      </c>
      <c r="S7" s="225"/>
      <c r="T7" s="97">
        <v>163</v>
      </c>
      <c r="U7" s="50">
        <f>T7+C7</f>
        <v>186</v>
      </c>
      <c r="V7" s="224">
        <v>1</v>
      </c>
      <c r="W7" s="225"/>
      <c r="X7" s="46">
        <f t="shared" si="0"/>
        <v>881</v>
      </c>
      <c r="Y7" s="106">
        <f>D7+H7+L7+P7+T7</f>
        <v>766</v>
      </c>
      <c r="Z7" s="67">
        <f>AVERAGE(E7,I7,M7,Q7,U7)</f>
        <v>176.2</v>
      </c>
      <c r="AA7" s="143">
        <f>AVERAGE(E7,I7,M7,Q7,U7)-C7</f>
        <v>153.2</v>
      </c>
      <c r="AB7" s="220"/>
    </row>
    <row r="8" spans="1:28" s="38" customFormat="1" ht="15.75" customHeight="1">
      <c r="A8" s="222" t="s">
        <v>115</v>
      </c>
      <c r="B8" s="223"/>
      <c r="C8" s="150">
        <v>22</v>
      </c>
      <c r="D8" s="59">
        <v>140</v>
      </c>
      <c r="E8" s="50">
        <f>D8+C8</f>
        <v>162</v>
      </c>
      <c r="F8" s="226"/>
      <c r="G8" s="227"/>
      <c r="H8" s="98">
        <v>161</v>
      </c>
      <c r="I8" s="46">
        <f>H8+C8</f>
        <v>183</v>
      </c>
      <c r="J8" s="226"/>
      <c r="K8" s="227"/>
      <c r="L8" s="98">
        <v>153</v>
      </c>
      <c r="M8" s="50">
        <f>L8+C8</f>
        <v>175</v>
      </c>
      <c r="N8" s="226"/>
      <c r="O8" s="227"/>
      <c r="P8" s="98">
        <v>180</v>
      </c>
      <c r="Q8" s="50">
        <f>P8+C8</f>
        <v>202</v>
      </c>
      <c r="R8" s="226"/>
      <c r="S8" s="227"/>
      <c r="T8" s="98">
        <v>187</v>
      </c>
      <c r="U8" s="50">
        <f>T8+C8</f>
        <v>209</v>
      </c>
      <c r="V8" s="226"/>
      <c r="W8" s="227"/>
      <c r="X8" s="46">
        <f t="shared" si="0"/>
        <v>931</v>
      </c>
      <c r="Y8" s="106">
        <f>D8+H8+L8+P8+T8</f>
        <v>821</v>
      </c>
      <c r="Z8" s="67">
        <f>AVERAGE(E8,I8,M8,Q8,U8)</f>
        <v>186.2</v>
      </c>
      <c r="AA8" s="143">
        <f>AVERAGE(E8,I8,M8,Q8,U8)-C8</f>
        <v>164.2</v>
      </c>
      <c r="AB8" s="220"/>
    </row>
    <row r="9" spans="1:28" s="38" customFormat="1" ht="16.5" customHeight="1" thickBot="1">
      <c r="A9" s="229" t="s">
        <v>289</v>
      </c>
      <c r="B9" s="230"/>
      <c r="C9" s="151">
        <v>20</v>
      </c>
      <c r="D9" s="60">
        <v>170</v>
      </c>
      <c r="E9" s="50">
        <f>D9+C9</f>
        <v>190</v>
      </c>
      <c r="F9" s="204"/>
      <c r="G9" s="228"/>
      <c r="H9" s="99">
        <v>174</v>
      </c>
      <c r="I9" s="46">
        <f>H9+C9</f>
        <v>194</v>
      </c>
      <c r="J9" s="204"/>
      <c r="K9" s="228"/>
      <c r="L9" s="99">
        <v>155</v>
      </c>
      <c r="M9" s="50">
        <f>L9+C9</f>
        <v>175</v>
      </c>
      <c r="N9" s="204"/>
      <c r="O9" s="228"/>
      <c r="P9" s="99">
        <v>167</v>
      </c>
      <c r="Q9" s="50">
        <f>P9+C9</f>
        <v>187</v>
      </c>
      <c r="R9" s="204"/>
      <c r="S9" s="228"/>
      <c r="T9" s="99">
        <v>126</v>
      </c>
      <c r="U9" s="50">
        <f>T9+C9</f>
        <v>146</v>
      </c>
      <c r="V9" s="204"/>
      <c r="W9" s="228"/>
      <c r="X9" s="47">
        <f t="shared" si="0"/>
        <v>892</v>
      </c>
      <c r="Y9" s="107">
        <f>D9+H9+L9+P9+T9</f>
        <v>792</v>
      </c>
      <c r="Z9" s="68">
        <f>AVERAGE(E9,I9,M9,Q9,U9)</f>
        <v>178.4</v>
      </c>
      <c r="AA9" s="144">
        <f>AVERAGE(E9,I9,M9,Q9,U9)-C9</f>
        <v>158.4</v>
      </c>
      <c r="AB9" s="221"/>
    </row>
    <row r="10" spans="1:28" s="38" customFormat="1" ht="41.25" customHeight="1">
      <c r="A10" s="217" t="s">
        <v>257</v>
      </c>
      <c r="B10" s="218"/>
      <c r="C10" s="149">
        <f>SUM(C11:C13)</f>
        <v>94</v>
      </c>
      <c r="D10" s="62">
        <f>SUM(D11:D13)</f>
        <v>501</v>
      </c>
      <c r="E10" s="45">
        <f>SUM(E11:E13)</f>
        <v>595</v>
      </c>
      <c r="F10" s="45">
        <f>E22</f>
        <v>627</v>
      </c>
      <c r="G10" s="42" t="str">
        <f>A22</f>
        <v>KUNDA TRANS</v>
      </c>
      <c r="H10" s="62">
        <f>SUM(H11:H13)</f>
        <v>421</v>
      </c>
      <c r="I10" s="45">
        <f>SUM(I11:I13)</f>
        <v>515</v>
      </c>
      <c r="J10" s="45">
        <f>I18</f>
        <v>507</v>
      </c>
      <c r="K10" s="42" t="str">
        <f>A18</f>
        <v>Fulltrade</v>
      </c>
      <c r="L10" s="133">
        <f>SUM(L11:L13)</f>
        <v>430</v>
      </c>
      <c r="M10" s="49">
        <f>SUM(M11:M13)</f>
        <v>524</v>
      </c>
      <c r="N10" s="45">
        <f>M14</f>
        <v>639</v>
      </c>
      <c r="O10" s="42" t="str">
        <f>A14</f>
        <v>NOOBEL</v>
      </c>
      <c r="P10" s="45">
        <f>SUM(P11:P13)</f>
        <v>447</v>
      </c>
      <c r="Q10" s="49">
        <f>SUM(Q11:Q13)</f>
        <v>541</v>
      </c>
      <c r="R10" s="45">
        <f>Q26</f>
        <v>574</v>
      </c>
      <c r="S10" s="42" t="str">
        <f>A26</f>
        <v>Meistrid&amp; Margarita</v>
      </c>
      <c r="T10" s="133">
        <f>SUM(T11:T13)</f>
        <v>440</v>
      </c>
      <c r="U10" s="49">
        <f>SUM(U11:U13)</f>
        <v>534</v>
      </c>
      <c r="V10" s="45">
        <f>U6</f>
        <v>541</v>
      </c>
      <c r="W10" s="42" t="str">
        <f>A6</f>
        <v>Isokuul</v>
      </c>
      <c r="X10" s="36">
        <f t="shared" si="0"/>
        <v>2709</v>
      </c>
      <c r="Y10" s="105">
        <f>SUM(Y11:Y13)</f>
        <v>2239</v>
      </c>
      <c r="Z10" s="65">
        <f>AVERAGE(Z11,Z12,Z13)</f>
        <v>180.6</v>
      </c>
      <c r="AA10" s="142">
        <f>AVERAGE(AA11,AA12,AA13)</f>
        <v>149.26666666666668</v>
      </c>
      <c r="AB10" s="219">
        <f>F11+J11+N11+R11+V11</f>
        <v>1</v>
      </c>
    </row>
    <row r="11" spans="1:28" s="38" customFormat="1" ht="15.75" customHeight="1">
      <c r="A11" s="222" t="s">
        <v>246</v>
      </c>
      <c r="B11" s="223"/>
      <c r="C11" s="150">
        <v>18</v>
      </c>
      <c r="D11" s="59">
        <v>183</v>
      </c>
      <c r="E11" s="50">
        <f>D11+C11</f>
        <v>201</v>
      </c>
      <c r="F11" s="224">
        <v>0</v>
      </c>
      <c r="G11" s="225"/>
      <c r="H11" s="97">
        <v>164</v>
      </c>
      <c r="I11" s="46">
        <f>H11+C11</f>
        <v>182</v>
      </c>
      <c r="J11" s="224">
        <v>1</v>
      </c>
      <c r="K11" s="225"/>
      <c r="L11" s="97">
        <v>153</v>
      </c>
      <c r="M11" s="50">
        <f>L11+C11</f>
        <v>171</v>
      </c>
      <c r="N11" s="224">
        <v>0</v>
      </c>
      <c r="O11" s="225"/>
      <c r="P11" s="97">
        <v>148</v>
      </c>
      <c r="Q11" s="50">
        <f>P11+C11</f>
        <v>166</v>
      </c>
      <c r="R11" s="224">
        <v>0</v>
      </c>
      <c r="S11" s="225"/>
      <c r="T11" s="97">
        <v>166</v>
      </c>
      <c r="U11" s="50">
        <f>T11+C11</f>
        <v>184</v>
      </c>
      <c r="V11" s="224">
        <v>0</v>
      </c>
      <c r="W11" s="225"/>
      <c r="X11" s="46">
        <f t="shared" si="0"/>
        <v>904</v>
      </c>
      <c r="Y11" s="106">
        <f>D11+H11+L11+P11+T11</f>
        <v>814</v>
      </c>
      <c r="Z11" s="67">
        <f>AVERAGE(E11,I11,M11,Q11,U11)</f>
        <v>180.8</v>
      </c>
      <c r="AA11" s="143">
        <f>AVERAGE(E11,I11,M11,Q11,U11)-C11</f>
        <v>162.8</v>
      </c>
      <c r="AB11" s="220"/>
    </row>
    <row r="12" spans="1:28" s="38" customFormat="1" ht="15.75" customHeight="1">
      <c r="A12" s="222" t="s">
        <v>330</v>
      </c>
      <c r="B12" s="223"/>
      <c r="C12" s="150">
        <v>54</v>
      </c>
      <c r="D12" s="59">
        <v>141</v>
      </c>
      <c r="E12" s="50">
        <f>D12+C12</f>
        <v>195</v>
      </c>
      <c r="F12" s="226"/>
      <c r="G12" s="227"/>
      <c r="H12" s="98">
        <v>110</v>
      </c>
      <c r="I12" s="46">
        <f>H12+C12</f>
        <v>164</v>
      </c>
      <c r="J12" s="226"/>
      <c r="K12" s="227"/>
      <c r="L12" s="98">
        <v>125</v>
      </c>
      <c r="M12" s="50">
        <f>L12+C12</f>
        <v>179</v>
      </c>
      <c r="N12" s="226"/>
      <c r="O12" s="227"/>
      <c r="P12" s="98">
        <v>148</v>
      </c>
      <c r="Q12" s="50">
        <f>P12+C12</f>
        <v>202</v>
      </c>
      <c r="R12" s="226"/>
      <c r="S12" s="227"/>
      <c r="T12" s="98">
        <v>127</v>
      </c>
      <c r="U12" s="50">
        <f>T12+C12</f>
        <v>181</v>
      </c>
      <c r="V12" s="226"/>
      <c r="W12" s="227"/>
      <c r="X12" s="46">
        <f t="shared" si="0"/>
        <v>921</v>
      </c>
      <c r="Y12" s="106">
        <f>D12+H12+L12+P12+T12</f>
        <v>651</v>
      </c>
      <c r="Z12" s="67">
        <f>AVERAGE(E12,I12,M12,Q12,U12)</f>
        <v>184.2</v>
      </c>
      <c r="AA12" s="143">
        <f>AVERAGE(E12,I12,M12,Q12,U12)-C12</f>
        <v>130.2</v>
      </c>
      <c r="AB12" s="220"/>
    </row>
    <row r="13" spans="1:28" s="38" customFormat="1" ht="15.75" customHeight="1" thickBot="1">
      <c r="A13" s="229" t="s">
        <v>248</v>
      </c>
      <c r="B13" s="230"/>
      <c r="C13" s="151">
        <v>22</v>
      </c>
      <c r="D13" s="60">
        <v>177</v>
      </c>
      <c r="E13" s="50">
        <f>D13+C13</f>
        <v>199</v>
      </c>
      <c r="F13" s="204"/>
      <c r="G13" s="228"/>
      <c r="H13" s="99">
        <v>147</v>
      </c>
      <c r="I13" s="46">
        <f>H13+C13</f>
        <v>169</v>
      </c>
      <c r="J13" s="204"/>
      <c r="K13" s="228"/>
      <c r="L13" s="99">
        <v>152</v>
      </c>
      <c r="M13" s="50">
        <f>L13+C13</f>
        <v>174</v>
      </c>
      <c r="N13" s="204"/>
      <c r="O13" s="228"/>
      <c r="P13" s="99">
        <v>151</v>
      </c>
      <c r="Q13" s="50">
        <f>P13+C13</f>
        <v>173</v>
      </c>
      <c r="R13" s="204"/>
      <c r="S13" s="228"/>
      <c r="T13" s="99">
        <v>147</v>
      </c>
      <c r="U13" s="50">
        <f>T13+C13</f>
        <v>169</v>
      </c>
      <c r="V13" s="204"/>
      <c r="W13" s="228"/>
      <c r="X13" s="47">
        <f t="shared" si="0"/>
        <v>884</v>
      </c>
      <c r="Y13" s="107">
        <f>D13+H13+L13+P13+T13</f>
        <v>774</v>
      </c>
      <c r="Z13" s="68">
        <f>AVERAGE(E13,I13,M13,Q13,U13)</f>
        <v>176.8</v>
      </c>
      <c r="AA13" s="144">
        <f>AVERAGE(E13,I13,M13,Q13,U13)-C13</f>
        <v>154.8</v>
      </c>
      <c r="AB13" s="221"/>
    </row>
    <row r="14" spans="1:28" s="38" customFormat="1" ht="47.25" customHeight="1">
      <c r="A14" s="217" t="s">
        <v>197</v>
      </c>
      <c r="B14" s="218"/>
      <c r="C14" s="149">
        <f>SUM(C15:C17)</f>
        <v>64</v>
      </c>
      <c r="D14" s="62">
        <f>SUM(D15:D17)</f>
        <v>496</v>
      </c>
      <c r="E14" s="45">
        <f>SUM(E15:E17)</f>
        <v>560</v>
      </c>
      <c r="F14" s="45">
        <f>E18</f>
        <v>577</v>
      </c>
      <c r="G14" s="42" t="str">
        <f>A18</f>
        <v>Fulltrade</v>
      </c>
      <c r="H14" s="62">
        <f>SUM(H15:H17)</f>
        <v>527</v>
      </c>
      <c r="I14" s="45">
        <f>SUM(I15:I17)</f>
        <v>591</v>
      </c>
      <c r="J14" s="45">
        <f>I26</f>
        <v>534</v>
      </c>
      <c r="K14" s="42" t="str">
        <f>A26</f>
        <v>Meistrid&amp; Margarita</v>
      </c>
      <c r="L14" s="133">
        <f>SUM(L15:L17)</f>
        <v>575</v>
      </c>
      <c r="M14" s="69">
        <f>SUM(M15:M17)</f>
        <v>639</v>
      </c>
      <c r="N14" s="45">
        <f>M10</f>
        <v>524</v>
      </c>
      <c r="O14" s="42" t="str">
        <f>A10</f>
        <v>Telfer Grupp</v>
      </c>
      <c r="P14" s="45">
        <f>SUM(P15:P17)</f>
        <v>492</v>
      </c>
      <c r="Q14" s="49">
        <f>SUM(Q15:Q17)</f>
        <v>556</v>
      </c>
      <c r="R14" s="45">
        <f>Q6</f>
        <v>556</v>
      </c>
      <c r="S14" s="42" t="str">
        <f>A6</f>
        <v>Isokuul</v>
      </c>
      <c r="T14" s="133">
        <f>SUM(T15:T17)</f>
        <v>496</v>
      </c>
      <c r="U14" s="69">
        <f>SUM(U15:U17)</f>
        <v>560</v>
      </c>
      <c r="V14" s="45">
        <f>U22</f>
        <v>589</v>
      </c>
      <c r="W14" s="42" t="str">
        <f>A22</f>
        <v>KUNDA TRANS</v>
      </c>
      <c r="X14" s="36">
        <f t="shared" si="0"/>
        <v>2906</v>
      </c>
      <c r="Y14" s="105">
        <f>SUM(Y15:Y17)</f>
        <v>2586</v>
      </c>
      <c r="Z14" s="65">
        <f>AVERAGE(Z15,Z16,Z17)</f>
        <v>193.73333333333335</v>
      </c>
      <c r="AA14" s="142">
        <f>AVERAGE(AA15,AA16,AA17)</f>
        <v>172.4</v>
      </c>
      <c r="AB14" s="219">
        <f>F15+J15+N15+R15+V15</f>
        <v>2.5</v>
      </c>
    </row>
    <row r="15" spans="1:28" s="38" customFormat="1" ht="15.75" customHeight="1">
      <c r="A15" s="222" t="s">
        <v>203</v>
      </c>
      <c r="B15" s="223"/>
      <c r="C15" s="150">
        <v>26</v>
      </c>
      <c r="D15" s="59">
        <v>156</v>
      </c>
      <c r="E15" s="50">
        <f>D15+C15</f>
        <v>182</v>
      </c>
      <c r="F15" s="224">
        <v>0</v>
      </c>
      <c r="G15" s="225"/>
      <c r="H15" s="97">
        <v>183</v>
      </c>
      <c r="I15" s="46">
        <f>H15+C15</f>
        <v>209</v>
      </c>
      <c r="J15" s="224">
        <v>1</v>
      </c>
      <c r="K15" s="225"/>
      <c r="L15" s="97">
        <v>226</v>
      </c>
      <c r="M15" s="50">
        <f>L15+C15</f>
        <v>252</v>
      </c>
      <c r="N15" s="224">
        <v>1</v>
      </c>
      <c r="O15" s="225"/>
      <c r="P15" s="97">
        <v>165</v>
      </c>
      <c r="Q15" s="50">
        <f>P15+C15</f>
        <v>191</v>
      </c>
      <c r="R15" s="224">
        <v>0.5</v>
      </c>
      <c r="S15" s="225"/>
      <c r="T15" s="97">
        <v>135</v>
      </c>
      <c r="U15" s="50">
        <f>T15+C15</f>
        <v>161</v>
      </c>
      <c r="V15" s="224">
        <v>0</v>
      </c>
      <c r="W15" s="225"/>
      <c r="X15" s="46">
        <f t="shared" si="0"/>
        <v>995</v>
      </c>
      <c r="Y15" s="106">
        <f>D15+H15+L15+P15+T15</f>
        <v>865</v>
      </c>
      <c r="Z15" s="67">
        <f>AVERAGE(E15,I15,M15,Q15,U15)</f>
        <v>199</v>
      </c>
      <c r="AA15" s="143">
        <f>AVERAGE(E15,I15,M15,Q15,U15)-C15</f>
        <v>173</v>
      </c>
      <c r="AB15" s="220"/>
    </row>
    <row r="16" spans="1:28" s="38" customFormat="1" ht="15.75" customHeight="1">
      <c r="A16" s="222" t="s">
        <v>204</v>
      </c>
      <c r="B16" s="223"/>
      <c r="C16" s="150">
        <v>13</v>
      </c>
      <c r="D16" s="59">
        <v>173</v>
      </c>
      <c r="E16" s="50">
        <f>D16+C16</f>
        <v>186</v>
      </c>
      <c r="F16" s="226"/>
      <c r="G16" s="227"/>
      <c r="H16" s="98">
        <v>186</v>
      </c>
      <c r="I16" s="46">
        <f>H16+C16</f>
        <v>199</v>
      </c>
      <c r="J16" s="226"/>
      <c r="K16" s="227"/>
      <c r="L16" s="98">
        <v>166</v>
      </c>
      <c r="M16" s="50">
        <f>L16+C16</f>
        <v>179</v>
      </c>
      <c r="N16" s="226"/>
      <c r="O16" s="227"/>
      <c r="P16" s="98">
        <v>138</v>
      </c>
      <c r="Q16" s="50">
        <f>P16+C16</f>
        <v>151</v>
      </c>
      <c r="R16" s="226"/>
      <c r="S16" s="227"/>
      <c r="T16" s="98">
        <v>200</v>
      </c>
      <c r="U16" s="50">
        <f>T16+C16</f>
        <v>213</v>
      </c>
      <c r="V16" s="226"/>
      <c r="W16" s="227"/>
      <c r="X16" s="46">
        <f t="shared" si="0"/>
        <v>928</v>
      </c>
      <c r="Y16" s="106">
        <f>D16+H16+L16+P16+T16</f>
        <v>863</v>
      </c>
      <c r="Z16" s="67">
        <f>AVERAGE(E16,I16,M16,Q16,U16)</f>
        <v>185.6</v>
      </c>
      <c r="AA16" s="143">
        <f>AVERAGE(E16,I16,M16,Q16,U16)-C16</f>
        <v>172.6</v>
      </c>
      <c r="AB16" s="220"/>
    </row>
    <row r="17" spans="1:28" s="38" customFormat="1" ht="15.75" customHeight="1" thickBot="1">
      <c r="A17" s="229" t="s">
        <v>205</v>
      </c>
      <c r="B17" s="230"/>
      <c r="C17" s="151">
        <v>25</v>
      </c>
      <c r="D17" s="60">
        <v>167</v>
      </c>
      <c r="E17" s="50">
        <f>D17+C17</f>
        <v>192</v>
      </c>
      <c r="F17" s="204"/>
      <c r="G17" s="228"/>
      <c r="H17" s="99">
        <v>158</v>
      </c>
      <c r="I17" s="46">
        <f>H17+C17</f>
        <v>183</v>
      </c>
      <c r="J17" s="204"/>
      <c r="K17" s="228"/>
      <c r="L17" s="99">
        <v>183</v>
      </c>
      <c r="M17" s="50">
        <f>L17+C17</f>
        <v>208</v>
      </c>
      <c r="N17" s="204"/>
      <c r="O17" s="228"/>
      <c r="P17" s="99">
        <v>189</v>
      </c>
      <c r="Q17" s="50">
        <f>P17+C17</f>
        <v>214</v>
      </c>
      <c r="R17" s="204"/>
      <c r="S17" s="228"/>
      <c r="T17" s="99">
        <v>161</v>
      </c>
      <c r="U17" s="50">
        <f>T17+C17</f>
        <v>186</v>
      </c>
      <c r="V17" s="204"/>
      <c r="W17" s="228"/>
      <c r="X17" s="47">
        <f t="shared" si="0"/>
        <v>983</v>
      </c>
      <c r="Y17" s="107">
        <f>D17+H17+L17+P17+T17</f>
        <v>858</v>
      </c>
      <c r="Z17" s="68">
        <f>AVERAGE(E17,I17,M17,Q17,U17)</f>
        <v>196.6</v>
      </c>
      <c r="AA17" s="144">
        <f>AVERAGE(E17,I17,M17,Q17,U17)-C17</f>
        <v>171.6</v>
      </c>
      <c r="AB17" s="221"/>
    </row>
    <row r="18" spans="1:28" s="38" customFormat="1" ht="39" customHeight="1">
      <c r="A18" s="217" t="s">
        <v>66</v>
      </c>
      <c r="B18" s="218"/>
      <c r="C18" s="149">
        <f>SUM(C19:C21)</f>
        <v>88</v>
      </c>
      <c r="D18" s="62">
        <f>SUM(D19:D21)</f>
        <v>489</v>
      </c>
      <c r="E18" s="45">
        <f>SUM(E19:E21)</f>
        <v>577</v>
      </c>
      <c r="F18" s="45">
        <f>E14</f>
        <v>560</v>
      </c>
      <c r="G18" s="42" t="str">
        <f>A14</f>
        <v>NOOBEL</v>
      </c>
      <c r="H18" s="62">
        <f>SUM(H19:H21)</f>
        <v>419</v>
      </c>
      <c r="I18" s="45">
        <f>SUM(I19:I21)</f>
        <v>507</v>
      </c>
      <c r="J18" s="45">
        <f>I10</f>
        <v>515</v>
      </c>
      <c r="K18" s="42" t="str">
        <f>A10</f>
        <v>Telfer Grupp</v>
      </c>
      <c r="L18" s="133">
        <f>SUM(L19:L21)</f>
        <v>482</v>
      </c>
      <c r="M18" s="49">
        <f>SUM(M19:M21)</f>
        <v>570</v>
      </c>
      <c r="N18" s="45">
        <f>M6</f>
        <v>543</v>
      </c>
      <c r="O18" s="42" t="str">
        <f>A6</f>
        <v>Isokuul</v>
      </c>
      <c r="P18" s="45">
        <f>SUM(P19:P21)</f>
        <v>444</v>
      </c>
      <c r="Q18" s="49">
        <f>SUM(Q19:Q21)</f>
        <v>532</v>
      </c>
      <c r="R18" s="45">
        <f>Q22</f>
        <v>562</v>
      </c>
      <c r="S18" s="42" t="str">
        <f>A22</f>
        <v>KUNDA TRANS</v>
      </c>
      <c r="T18" s="133">
        <f>SUM(T19:T21)</f>
        <v>498</v>
      </c>
      <c r="U18" s="49">
        <f>SUM(U19:U21)</f>
        <v>586</v>
      </c>
      <c r="V18" s="45">
        <f>U26</f>
        <v>535</v>
      </c>
      <c r="W18" s="42" t="str">
        <f>A26</f>
        <v>Meistrid&amp; Margarita</v>
      </c>
      <c r="X18" s="36">
        <f t="shared" si="0"/>
        <v>2772</v>
      </c>
      <c r="Y18" s="105">
        <f>SUM(Y19:Y21)</f>
        <v>2332</v>
      </c>
      <c r="Z18" s="65">
        <f>AVERAGE(Z19,Z20,Z21)</f>
        <v>184.80000000000004</v>
      </c>
      <c r="AA18" s="142">
        <f>AVERAGE(AA19,AA20,AA21)</f>
        <v>155.46666666666667</v>
      </c>
      <c r="AB18" s="219">
        <f>F19+J19+N19+R19+V19</f>
        <v>3</v>
      </c>
    </row>
    <row r="19" spans="1:28" s="38" customFormat="1" ht="15.75" customHeight="1">
      <c r="A19" s="222" t="s">
        <v>50</v>
      </c>
      <c r="B19" s="223"/>
      <c r="C19" s="150">
        <v>27</v>
      </c>
      <c r="D19" s="59">
        <v>153</v>
      </c>
      <c r="E19" s="50">
        <f>D19+C19</f>
        <v>180</v>
      </c>
      <c r="F19" s="224">
        <v>1</v>
      </c>
      <c r="G19" s="225"/>
      <c r="H19" s="97">
        <v>144</v>
      </c>
      <c r="I19" s="46">
        <f>H19+C19</f>
        <v>171</v>
      </c>
      <c r="J19" s="224">
        <v>0</v>
      </c>
      <c r="K19" s="225"/>
      <c r="L19" s="97">
        <v>167</v>
      </c>
      <c r="M19" s="50">
        <f>L19+C19</f>
        <v>194</v>
      </c>
      <c r="N19" s="224">
        <v>1</v>
      </c>
      <c r="O19" s="225"/>
      <c r="P19" s="97">
        <v>161</v>
      </c>
      <c r="Q19" s="50">
        <f>P19+C19</f>
        <v>188</v>
      </c>
      <c r="R19" s="224">
        <v>0</v>
      </c>
      <c r="S19" s="225"/>
      <c r="T19" s="97">
        <v>165</v>
      </c>
      <c r="U19" s="50">
        <f>T19+C19</f>
        <v>192</v>
      </c>
      <c r="V19" s="224">
        <v>1</v>
      </c>
      <c r="W19" s="225"/>
      <c r="X19" s="46">
        <f t="shared" si="0"/>
        <v>925</v>
      </c>
      <c r="Y19" s="106">
        <f>D19+H19+L19+P19+T19</f>
        <v>790</v>
      </c>
      <c r="Z19" s="67">
        <f>AVERAGE(E19,I19,M19,Q19,U19)</f>
        <v>185</v>
      </c>
      <c r="AA19" s="143">
        <f>AVERAGE(E19,I19,M19,Q19,U19)-C19</f>
        <v>158</v>
      </c>
      <c r="AB19" s="220"/>
    </row>
    <row r="20" spans="1:28" s="38" customFormat="1" ht="15.75" customHeight="1">
      <c r="A20" s="222" t="s">
        <v>51</v>
      </c>
      <c r="B20" s="223"/>
      <c r="C20" s="150">
        <v>37</v>
      </c>
      <c r="D20" s="59">
        <v>145</v>
      </c>
      <c r="E20" s="50">
        <f>D20+C20</f>
        <v>182</v>
      </c>
      <c r="F20" s="226"/>
      <c r="G20" s="227"/>
      <c r="H20" s="98">
        <v>126</v>
      </c>
      <c r="I20" s="46">
        <f>H20+C20</f>
        <v>163</v>
      </c>
      <c r="J20" s="226"/>
      <c r="K20" s="227"/>
      <c r="L20" s="98">
        <v>154</v>
      </c>
      <c r="M20" s="50">
        <f>L20+C20</f>
        <v>191</v>
      </c>
      <c r="N20" s="226"/>
      <c r="O20" s="227"/>
      <c r="P20" s="98">
        <v>139</v>
      </c>
      <c r="Q20" s="50">
        <f>P20+C20</f>
        <v>176</v>
      </c>
      <c r="R20" s="226"/>
      <c r="S20" s="227"/>
      <c r="T20" s="98">
        <v>179</v>
      </c>
      <c r="U20" s="50">
        <f>T20+C20</f>
        <v>216</v>
      </c>
      <c r="V20" s="226"/>
      <c r="W20" s="227"/>
      <c r="X20" s="46">
        <f t="shared" si="0"/>
        <v>928</v>
      </c>
      <c r="Y20" s="106">
        <f>D20+H20+L20+P20+T20</f>
        <v>743</v>
      </c>
      <c r="Z20" s="67">
        <f>AVERAGE(E20,I20,M20,Q20,U20)</f>
        <v>185.6</v>
      </c>
      <c r="AA20" s="143">
        <f>AVERAGE(E20,I20,M20,Q20,U20)-C20</f>
        <v>148.6</v>
      </c>
      <c r="AB20" s="220"/>
    </row>
    <row r="21" spans="1:29" s="38" customFormat="1" ht="15.75" customHeight="1" thickBot="1">
      <c r="A21" s="229" t="s">
        <v>288</v>
      </c>
      <c r="B21" s="230"/>
      <c r="C21" s="151">
        <v>24</v>
      </c>
      <c r="D21" s="60">
        <v>191</v>
      </c>
      <c r="E21" s="50">
        <f>D21+C21</f>
        <v>215</v>
      </c>
      <c r="F21" s="204"/>
      <c r="G21" s="228"/>
      <c r="H21" s="99">
        <v>149</v>
      </c>
      <c r="I21" s="46">
        <f>H21+C21</f>
        <v>173</v>
      </c>
      <c r="J21" s="204"/>
      <c r="K21" s="228"/>
      <c r="L21" s="99">
        <v>161</v>
      </c>
      <c r="M21" s="50">
        <f>L21+C21</f>
        <v>185</v>
      </c>
      <c r="N21" s="204"/>
      <c r="O21" s="228"/>
      <c r="P21" s="99">
        <v>144</v>
      </c>
      <c r="Q21" s="50">
        <f>P21+C21</f>
        <v>168</v>
      </c>
      <c r="R21" s="204"/>
      <c r="S21" s="228"/>
      <c r="T21" s="99">
        <v>154</v>
      </c>
      <c r="U21" s="50">
        <f>T21+C21</f>
        <v>178</v>
      </c>
      <c r="V21" s="204"/>
      <c r="W21" s="228"/>
      <c r="X21" s="47">
        <f t="shared" si="0"/>
        <v>919</v>
      </c>
      <c r="Y21" s="107">
        <f>D21+H21+L21+P21+T21</f>
        <v>799</v>
      </c>
      <c r="Z21" s="68">
        <f>AVERAGE(E21,I21,M21,Q21,U21)</f>
        <v>183.8</v>
      </c>
      <c r="AA21" s="144">
        <f>AVERAGE(E21,I21,M21,Q21,U21)-C21</f>
        <v>159.8</v>
      </c>
      <c r="AB21" s="221"/>
      <c r="AC21" s="44"/>
    </row>
    <row r="22" spans="1:28" s="38" customFormat="1" ht="53.25" customHeight="1">
      <c r="A22" s="217" t="s">
        <v>200</v>
      </c>
      <c r="B22" s="218"/>
      <c r="C22" s="149">
        <f>SUM(C23:C25)</f>
        <v>102</v>
      </c>
      <c r="D22" s="62">
        <f>SUM(D23:D25)</f>
        <v>525</v>
      </c>
      <c r="E22" s="45">
        <f>SUM(E23:E25)</f>
        <v>627</v>
      </c>
      <c r="F22" s="45">
        <f>E10</f>
        <v>595</v>
      </c>
      <c r="G22" s="42" t="str">
        <f>A10</f>
        <v>Telfer Grupp</v>
      </c>
      <c r="H22" s="62">
        <f>SUM(H23:H25)</f>
        <v>473</v>
      </c>
      <c r="I22" s="45">
        <f>SUM(I23:I25)</f>
        <v>575</v>
      </c>
      <c r="J22" s="45">
        <f>I6</f>
        <v>561</v>
      </c>
      <c r="K22" s="42" t="str">
        <f>A6</f>
        <v>Isokuul</v>
      </c>
      <c r="L22" s="133">
        <f>SUM(L23:L25)</f>
        <v>504</v>
      </c>
      <c r="M22" s="69">
        <f>SUM(M23:M25)</f>
        <v>606</v>
      </c>
      <c r="N22" s="45">
        <f>M26</f>
        <v>560</v>
      </c>
      <c r="O22" s="42" t="str">
        <f>A26</f>
        <v>Meistrid&amp; Margarita</v>
      </c>
      <c r="P22" s="45">
        <f>SUM(P23:P25)</f>
        <v>460</v>
      </c>
      <c r="Q22" s="69">
        <f>SUM(Q23:Q25)</f>
        <v>562</v>
      </c>
      <c r="R22" s="45">
        <f>Q18</f>
        <v>532</v>
      </c>
      <c r="S22" s="42" t="str">
        <f>A18</f>
        <v>Fulltrade</v>
      </c>
      <c r="T22" s="133">
        <f>SUM(T23:T25)</f>
        <v>487</v>
      </c>
      <c r="U22" s="69">
        <f>SUM(U23:U25)</f>
        <v>589</v>
      </c>
      <c r="V22" s="45">
        <f>U14</f>
        <v>560</v>
      </c>
      <c r="W22" s="42" t="str">
        <f>A14</f>
        <v>NOOBEL</v>
      </c>
      <c r="X22" s="36">
        <f t="shared" si="0"/>
        <v>2959</v>
      </c>
      <c r="Y22" s="105">
        <f>SUM(Y23:Y25)</f>
        <v>2449</v>
      </c>
      <c r="Z22" s="65">
        <f>AVERAGE(Z23,Z24,Z25)</f>
        <v>197.26666666666665</v>
      </c>
      <c r="AA22" s="142">
        <f>AVERAGE(AA23,AA24,AA25)</f>
        <v>163.26666666666668</v>
      </c>
      <c r="AB22" s="219">
        <f>F23+J23+N23+R23+V23</f>
        <v>5</v>
      </c>
    </row>
    <row r="23" spans="1:28" s="38" customFormat="1" ht="15.75" customHeight="1">
      <c r="A23" s="222" t="s">
        <v>215</v>
      </c>
      <c r="B23" s="223"/>
      <c r="C23" s="150">
        <v>12</v>
      </c>
      <c r="D23" s="59">
        <v>181</v>
      </c>
      <c r="E23" s="50">
        <f>D23+C23</f>
        <v>193</v>
      </c>
      <c r="F23" s="224">
        <v>1</v>
      </c>
      <c r="G23" s="225"/>
      <c r="H23" s="97">
        <v>151</v>
      </c>
      <c r="I23" s="46">
        <f>H23+C23</f>
        <v>163</v>
      </c>
      <c r="J23" s="224">
        <v>1</v>
      </c>
      <c r="K23" s="225"/>
      <c r="L23" s="97">
        <v>171</v>
      </c>
      <c r="M23" s="50">
        <f>L23+C23</f>
        <v>183</v>
      </c>
      <c r="N23" s="224">
        <v>1</v>
      </c>
      <c r="O23" s="225"/>
      <c r="P23" s="97">
        <v>149</v>
      </c>
      <c r="Q23" s="50">
        <f>P23+C23</f>
        <v>161</v>
      </c>
      <c r="R23" s="224">
        <v>1</v>
      </c>
      <c r="S23" s="225"/>
      <c r="T23" s="97">
        <v>182</v>
      </c>
      <c r="U23" s="50">
        <f>T23+C23</f>
        <v>194</v>
      </c>
      <c r="V23" s="224">
        <v>1</v>
      </c>
      <c r="W23" s="225"/>
      <c r="X23" s="46">
        <f t="shared" si="0"/>
        <v>894</v>
      </c>
      <c r="Y23" s="106">
        <f>D23+H23+L23+P23+T23</f>
        <v>834</v>
      </c>
      <c r="Z23" s="67">
        <f>AVERAGE(E23,I23,M23,Q23,U23)</f>
        <v>178.8</v>
      </c>
      <c r="AA23" s="143">
        <f>AVERAGE(E23,I23,M23,Q23,U23)-C23</f>
        <v>166.8</v>
      </c>
      <c r="AB23" s="220"/>
    </row>
    <row r="24" spans="1:28" s="38" customFormat="1" ht="15.75" customHeight="1">
      <c r="A24" s="222" t="s">
        <v>216</v>
      </c>
      <c r="B24" s="223"/>
      <c r="C24" s="150">
        <v>31</v>
      </c>
      <c r="D24" s="59">
        <v>136</v>
      </c>
      <c r="E24" s="50">
        <f>D24+C24</f>
        <v>167</v>
      </c>
      <c r="F24" s="226"/>
      <c r="G24" s="227"/>
      <c r="H24" s="98">
        <v>178</v>
      </c>
      <c r="I24" s="46">
        <f>H24+C24</f>
        <v>209</v>
      </c>
      <c r="J24" s="226"/>
      <c r="K24" s="227"/>
      <c r="L24" s="98">
        <v>174</v>
      </c>
      <c r="M24" s="50">
        <f>L24+C24</f>
        <v>205</v>
      </c>
      <c r="N24" s="226"/>
      <c r="O24" s="227"/>
      <c r="P24" s="98">
        <v>143</v>
      </c>
      <c r="Q24" s="50">
        <f>P24+C24</f>
        <v>174</v>
      </c>
      <c r="R24" s="226"/>
      <c r="S24" s="227"/>
      <c r="T24" s="98">
        <v>155</v>
      </c>
      <c r="U24" s="50">
        <f>T24+C24</f>
        <v>186</v>
      </c>
      <c r="V24" s="226"/>
      <c r="W24" s="227"/>
      <c r="X24" s="46">
        <f t="shared" si="0"/>
        <v>941</v>
      </c>
      <c r="Y24" s="106">
        <f>D24+H24+L24+P24+T24</f>
        <v>786</v>
      </c>
      <c r="Z24" s="67">
        <f>AVERAGE(E24,I24,M24,Q24,U24)</f>
        <v>188.2</v>
      </c>
      <c r="AA24" s="143">
        <f>AVERAGE(E24,I24,M24,Q24,U24)-C24</f>
        <v>157.2</v>
      </c>
      <c r="AB24" s="220"/>
    </row>
    <row r="25" spans="1:28" s="38" customFormat="1" ht="15.75" customHeight="1" thickBot="1">
      <c r="A25" s="229" t="s">
        <v>357</v>
      </c>
      <c r="B25" s="230"/>
      <c r="C25" s="151">
        <v>59</v>
      </c>
      <c r="D25" s="60">
        <v>208</v>
      </c>
      <c r="E25" s="50">
        <f>D25+C25</f>
        <v>267</v>
      </c>
      <c r="F25" s="204"/>
      <c r="G25" s="228"/>
      <c r="H25" s="99">
        <v>144</v>
      </c>
      <c r="I25" s="46">
        <f>H25+C25</f>
        <v>203</v>
      </c>
      <c r="J25" s="204"/>
      <c r="K25" s="228"/>
      <c r="L25" s="99">
        <v>159</v>
      </c>
      <c r="M25" s="50">
        <f>L25+C25</f>
        <v>218</v>
      </c>
      <c r="N25" s="204"/>
      <c r="O25" s="228"/>
      <c r="P25" s="99">
        <v>168</v>
      </c>
      <c r="Q25" s="50">
        <f>P25+C25</f>
        <v>227</v>
      </c>
      <c r="R25" s="204"/>
      <c r="S25" s="228"/>
      <c r="T25" s="99">
        <v>150</v>
      </c>
      <c r="U25" s="50">
        <f>T25+C25</f>
        <v>209</v>
      </c>
      <c r="V25" s="204"/>
      <c r="W25" s="228"/>
      <c r="X25" s="47">
        <f t="shared" si="0"/>
        <v>1124</v>
      </c>
      <c r="Y25" s="107">
        <f>D25+H25+L25+P25+T25</f>
        <v>829</v>
      </c>
      <c r="Z25" s="68">
        <f>AVERAGE(E25,I25,M25,Q25,U25)</f>
        <v>224.8</v>
      </c>
      <c r="AA25" s="144">
        <f>AVERAGE(E25,I25,M25,Q25,U25)-C25</f>
        <v>165.8</v>
      </c>
      <c r="AB25" s="221"/>
    </row>
    <row r="26" spans="1:28" s="38" customFormat="1" ht="42" customHeight="1">
      <c r="A26" s="217" t="s">
        <v>79</v>
      </c>
      <c r="B26" s="218"/>
      <c r="C26" s="149">
        <f>SUM(C27:C29)</f>
        <v>67</v>
      </c>
      <c r="D26" s="62">
        <f>SUM(D27:D29)</f>
        <v>467</v>
      </c>
      <c r="E26" s="45">
        <f>SUM(E27:E29)</f>
        <v>534</v>
      </c>
      <c r="F26" s="45">
        <f>E6</f>
        <v>503</v>
      </c>
      <c r="G26" s="42" t="str">
        <f>A6</f>
        <v>Isokuul</v>
      </c>
      <c r="H26" s="62">
        <f>SUM(H27:H29)</f>
        <v>467</v>
      </c>
      <c r="I26" s="45">
        <f>SUM(I27:I29)</f>
        <v>534</v>
      </c>
      <c r="J26" s="45">
        <f>I14</f>
        <v>591</v>
      </c>
      <c r="K26" s="42" t="str">
        <f>A14</f>
        <v>NOOBEL</v>
      </c>
      <c r="L26" s="133">
        <f>SUM(L27:L29)</f>
        <v>493</v>
      </c>
      <c r="M26" s="49">
        <f>SUM(M27:M29)</f>
        <v>560</v>
      </c>
      <c r="N26" s="45">
        <f>M22</f>
        <v>606</v>
      </c>
      <c r="O26" s="42" t="str">
        <f>A22</f>
        <v>KUNDA TRANS</v>
      </c>
      <c r="P26" s="45">
        <f>SUM(P27:P29)</f>
        <v>507</v>
      </c>
      <c r="Q26" s="49">
        <f>SUM(Q27:Q29)</f>
        <v>574</v>
      </c>
      <c r="R26" s="45">
        <f>Q10</f>
        <v>541</v>
      </c>
      <c r="S26" s="42" t="str">
        <f>A10</f>
        <v>Telfer Grupp</v>
      </c>
      <c r="T26" s="133">
        <f>SUM(T27:T29)</f>
        <v>468</v>
      </c>
      <c r="U26" s="49">
        <f>SUM(U27:U29)</f>
        <v>535</v>
      </c>
      <c r="V26" s="45">
        <f>U18</f>
        <v>586</v>
      </c>
      <c r="W26" s="42" t="str">
        <f>A18</f>
        <v>Fulltrade</v>
      </c>
      <c r="X26" s="36">
        <f t="shared" si="0"/>
        <v>2737</v>
      </c>
      <c r="Y26" s="105">
        <f>SUM(Y27:Y29)</f>
        <v>2402</v>
      </c>
      <c r="Z26" s="65">
        <f>AVERAGE(Z27,Z28,Z29)</f>
        <v>182.4666666666667</v>
      </c>
      <c r="AA26" s="142">
        <f>AVERAGE(AA27,AA28,AA29)</f>
        <v>160.13333333333335</v>
      </c>
      <c r="AB26" s="219">
        <f>F27+J27+N27+R27+V27</f>
        <v>2</v>
      </c>
    </row>
    <row r="27" spans="1:28" s="38" customFormat="1" ht="15.75" customHeight="1">
      <c r="A27" s="222" t="s">
        <v>87</v>
      </c>
      <c r="B27" s="223"/>
      <c r="C27" s="150">
        <v>22</v>
      </c>
      <c r="D27" s="59">
        <v>169</v>
      </c>
      <c r="E27" s="50">
        <f>D27+C27</f>
        <v>191</v>
      </c>
      <c r="F27" s="224">
        <v>1</v>
      </c>
      <c r="G27" s="225"/>
      <c r="H27" s="97">
        <v>159</v>
      </c>
      <c r="I27" s="46">
        <f>H27+C27</f>
        <v>181</v>
      </c>
      <c r="J27" s="224">
        <v>0</v>
      </c>
      <c r="K27" s="225"/>
      <c r="L27" s="97">
        <v>144</v>
      </c>
      <c r="M27" s="50">
        <f>L27+C27</f>
        <v>166</v>
      </c>
      <c r="N27" s="224">
        <v>0</v>
      </c>
      <c r="O27" s="225"/>
      <c r="P27" s="97">
        <v>166</v>
      </c>
      <c r="Q27" s="50">
        <f>P27+C27</f>
        <v>188</v>
      </c>
      <c r="R27" s="224">
        <v>1</v>
      </c>
      <c r="S27" s="225"/>
      <c r="T27" s="97">
        <v>140</v>
      </c>
      <c r="U27" s="50">
        <f>T27+C27</f>
        <v>162</v>
      </c>
      <c r="V27" s="224">
        <v>0</v>
      </c>
      <c r="W27" s="225"/>
      <c r="X27" s="46">
        <f t="shared" si="0"/>
        <v>888</v>
      </c>
      <c r="Y27" s="106">
        <f>D27+H27+L27+P27+T27</f>
        <v>778</v>
      </c>
      <c r="Z27" s="67">
        <f>AVERAGE(E27,I27,M27,Q27,U27)</f>
        <v>177.6</v>
      </c>
      <c r="AA27" s="143">
        <f>AVERAGE(E27,I27,M27,Q27,U27)-C27</f>
        <v>155.6</v>
      </c>
      <c r="AB27" s="220"/>
    </row>
    <row r="28" spans="1:28" s="38" customFormat="1" ht="15.75" customHeight="1">
      <c r="A28" s="222" t="s">
        <v>88</v>
      </c>
      <c r="B28" s="223"/>
      <c r="C28" s="150">
        <v>28</v>
      </c>
      <c r="D28" s="59">
        <v>188</v>
      </c>
      <c r="E28" s="50">
        <f>D28+C28</f>
        <v>216</v>
      </c>
      <c r="F28" s="226"/>
      <c r="G28" s="227"/>
      <c r="H28" s="98">
        <v>150</v>
      </c>
      <c r="I28" s="46">
        <f>H28+C28</f>
        <v>178</v>
      </c>
      <c r="J28" s="226"/>
      <c r="K28" s="227"/>
      <c r="L28" s="98">
        <v>202</v>
      </c>
      <c r="M28" s="50">
        <f>L28+C28</f>
        <v>230</v>
      </c>
      <c r="N28" s="226"/>
      <c r="O28" s="227"/>
      <c r="P28" s="98">
        <v>173</v>
      </c>
      <c r="Q28" s="50">
        <f>P28+C28</f>
        <v>201</v>
      </c>
      <c r="R28" s="226"/>
      <c r="S28" s="227"/>
      <c r="T28" s="98">
        <v>152</v>
      </c>
      <c r="U28" s="50">
        <f>T28+C28</f>
        <v>180</v>
      </c>
      <c r="V28" s="226"/>
      <c r="W28" s="227"/>
      <c r="X28" s="46">
        <f t="shared" si="0"/>
        <v>1005</v>
      </c>
      <c r="Y28" s="106">
        <f>D28+H28+L28+P28+T28</f>
        <v>865</v>
      </c>
      <c r="Z28" s="67">
        <f>AVERAGE(E28,I28,M28,Q28,U28)</f>
        <v>201</v>
      </c>
      <c r="AA28" s="143">
        <f>AVERAGE(E28,I28,M28,Q28,U28)-C28</f>
        <v>173</v>
      </c>
      <c r="AB28" s="220"/>
    </row>
    <row r="29" spans="1:28" s="38" customFormat="1" ht="15.75" customHeight="1" thickBot="1">
      <c r="A29" s="229" t="s">
        <v>89</v>
      </c>
      <c r="B29" s="230"/>
      <c r="C29" s="151">
        <v>17</v>
      </c>
      <c r="D29" s="60">
        <v>110</v>
      </c>
      <c r="E29" s="50">
        <f>D29+C29</f>
        <v>127</v>
      </c>
      <c r="F29" s="204"/>
      <c r="G29" s="228"/>
      <c r="H29" s="99">
        <v>158</v>
      </c>
      <c r="I29" s="46">
        <f>H29+C29</f>
        <v>175</v>
      </c>
      <c r="J29" s="204"/>
      <c r="K29" s="228"/>
      <c r="L29" s="99">
        <v>147</v>
      </c>
      <c r="M29" s="50">
        <f>L29+C29</f>
        <v>164</v>
      </c>
      <c r="N29" s="204"/>
      <c r="O29" s="228"/>
      <c r="P29" s="99">
        <v>168</v>
      </c>
      <c r="Q29" s="50">
        <f>P29+C29</f>
        <v>185</v>
      </c>
      <c r="R29" s="204"/>
      <c r="S29" s="228"/>
      <c r="T29" s="99">
        <v>176</v>
      </c>
      <c r="U29" s="50">
        <f>T29+C29</f>
        <v>193</v>
      </c>
      <c r="V29" s="204"/>
      <c r="W29" s="228"/>
      <c r="X29" s="47">
        <f t="shared" si="0"/>
        <v>844</v>
      </c>
      <c r="Y29" s="107">
        <f>D29+H29+L29+P29+T29</f>
        <v>759</v>
      </c>
      <c r="Z29" s="68">
        <f>AVERAGE(E29,I29,M29,Q29,U29)</f>
        <v>168.8</v>
      </c>
      <c r="AA29" s="144">
        <f>AVERAGE(E29,I29,M29,Q29,U29)-C29</f>
        <v>151.8</v>
      </c>
      <c r="AB29" s="221"/>
    </row>
    <row r="30" spans="1:28" s="40" customFormat="1" ht="15.75" customHeight="1">
      <c r="A30" s="207" t="s">
        <v>361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4"/>
      <c r="W30" s="25"/>
      <c r="Y30" s="57"/>
      <c r="Z30" s="41"/>
      <c r="AA30" s="139"/>
      <c r="AB30" s="25"/>
    </row>
    <row r="31" spans="1:28" s="40" customFormat="1" ht="6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4"/>
      <c r="W31" s="25"/>
      <c r="Y31" s="57"/>
      <c r="Z31" s="41"/>
      <c r="AA31" s="139"/>
      <c r="AB31" s="25"/>
    </row>
    <row r="32" spans="1:28" s="40" customFormat="1" ht="23.2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5"/>
      <c r="W32" s="25"/>
      <c r="Y32" s="57"/>
      <c r="Z32" s="41"/>
      <c r="AA32" s="139"/>
      <c r="AB32" s="25"/>
    </row>
    <row r="33" spans="1:28" s="31" customFormat="1" ht="15.75" customHeight="1">
      <c r="A33" s="209" t="s">
        <v>0</v>
      </c>
      <c r="B33" s="210"/>
      <c r="C33" s="147" t="s">
        <v>39</v>
      </c>
      <c r="D33" s="55"/>
      <c r="E33" s="27" t="s">
        <v>1</v>
      </c>
      <c r="F33" s="211" t="s">
        <v>2</v>
      </c>
      <c r="G33" s="212"/>
      <c r="H33" s="94"/>
      <c r="I33" s="27" t="s">
        <v>3</v>
      </c>
      <c r="J33" s="211" t="s">
        <v>2</v>
      </c>
      <c r="K33" s="212"/>
      <c r="L33" s="94"/>
      <c r="M33" s="27" t="s">
        <v>4</v>
      </c>
      <c r="N33" s="211" t="s">
        <v>2</v>
      </c>
      <c r="O33" s="212"/>
      <c r="P33" s="94"/>
      <c r="Q33" s="27" t="s">
        <v>5</v>
      </c>
      <c r="R33" s="211" t="s">
        <v>2</v>
      </c>
      <c r="S33" s="212"/>
      <c r="T33" s="94"/>
      <c r="U33" s="27" t="s">
        <v>6</v>
      </c>
      <c r="V33" s="211" t="s">
        <v>2</v>
      </c>
      <c r="W33" s="212"/>
      <c r="X33" s="28" t="s">
        <v>7</v>
      </c>
      <c r="Y33" s="104"/>
      <c r="Z33" s="29" t="s">
        <v>40</v>
      </c>
      <c r="AA33" s="140" t="s">
        <v>42</v>
      </c>
      <c r="AB33" s="30" t="s">
        <v>7</v>
      </c>
    </row>
    <row r="34" spans="1:28" s="31" customFormat="1" ht="15.75" customHeight="1" thickBot="1">
      <c r="A34" s="213" t="s">
        <v>9</v>
      </c>
      <c r="B34" s="214"/>
      <c r="C34" s="148"/>
      <c r="D34" s="56"/>
      <c r="E34" s="32" t="s">
        <v>10</v>
      </c>
      <c r="F34" s="211" t="s">
        <v>11</v>
      </c>
      <c r="G34" s="212"/>
      <c r="H34" s="95"/>
      <c r="I34" s="32" t="s">
        <v>10</v>
      </c>
      <c r="J34" s="215" t="s">
        <v>11</v>
      </c>
      <c r="K34" s="216"/>
      <c r="L34" s="95"/>
      <c r="M34" s="32" t="s">
        <v>10</v>
      </c>
      <c r="N34" s="215" t="s">
        <v>11</v>
      </c>
      <c r="O34" s="216"/>
      <c r="P34" s="95"/>
      <c r="Q34" s="32" t="s">
        <v>10</v>
      </c>
      <c r="R34" s="215" t="s">
        <v>11</v>
      </c>
      <c r="S34" s="216"/>
      <c r="T34" s="95"/>
      <c r="U34" s="32" t="s">
        <v>10</v>
      </c>
      <c r="V34" s="215" t="s">
        <v>11</v>
      </c>
      <c r="W34" s="216"/>
      <c r="X34" s="33" t="s">
        <v>10</v>
      </c>
      <c r="Y34" s="134" t="s">
        <v>287</v>
      </c>
      <c r="Z34" s="34" t="s">
        <v>41</v>
      </c>
      <c r="AA34" s="141" t="s">
        <v>43</v>
      </c>
      <c r="AB34" s="35" t="s">
        <v>12</v>
      </c>
    </row>
    <row r="35" spans="1:28" s="38" customFormat="1" ht="42" customHeight="1">
      <c r="A35" s="217" t="s">
        <v>105</v>
      </c>
      <c r="B35" s="218"/>
      <c r="C35" s="149">
        <f>SUM(C36:C38)</f>
        <v>86</v>
      </c>
      <c r="D35" s="62">
        <f>SUM(D36:D38)</f>
        <v>470</v>
      </c>
      <c r="E35" s="63">
        <f>SUM(E36:E38)</f>
        <v>556</v>
      </c>
      <c r="F35" s="46">
        <f>E55</f>
        <v>582</v>
      </c>
      <c r="G35" s="64" t="str">
        <f>A55</f>
        <v>Wiru Auto</v>
      </c>
      <c r="H35" s="62">
        <f>SUM(H36:H38)</f>
        <v>391</v>
      </c>
      <c r="I35" s="49">
        <f>SUM(I36:I38)</f>
        <v>477</v>
      </c>
      <c r="J35" s="49">
        <f>I51</f>
        <v>528</v>
      </c>
      <c r="K35" s="42" t="str">
        <f>A51</f>
        <v>SADO</v>
      </c>
      <c r="L35" s="58">
        <f>SUM(L36:L38)</f>
        <v>456</v>
      </c>
      <c r="M35" s="45">
        <f>SUM(M36:M38)</f>
        <v>542</v>
      </c>
      <c r="N35" s="45">
        <f>M47</f>
        <v>504</v>
      </c>
      <c r="O35" s="42" t="str">
        <f>A47</f>
        <v>Vest-Wood 1</v>
      </c>
      <c r="P35" s="45">
        <f>SUM(P36:P38)</f>
        <v>428</v>
      </c>
      <c r="Q35" s="45">
        <f>SUM(Q36:Q38)</f>
        <v>514</v>
      </c>
      <c r="R35" s="45">
        <f>Q43</f>
        <v>564</v>
      </c>
      <c r="S35" s="42" t="str">
        <f>A43</f>
        <v>LATER</v>
      </c>
      <c r="T35" s="133">
        <f>SUM(T36:T38)</f>
        <v>445</v>
      </c>
      <c r="U35" s="45">
        <f>SUM(U36:U38)</f>
        <v>531</v>
      </c>
      <c r="V35" s="45">
        <f>U39</f>
        <v>559</v>
      </c>
      <c r="W35" s="42" t="str">
        <f>A39</f>
        <v>AKAT 1</v>
      </c>
      <c r="X35" s="36">
        <f aca="true" t="shared" si="1" ref="X35:X58">E35+I35+M35+Q35+U35</f>
        <v>2620</v>
      </c>
      <c r="Y35" s="105">
        <f>SUM(Y36:Y38)</f>
        <v>2190</v>
      </c>
      <c r="Z35" s="37">
        <f>AVERAGE(Z36,Z37,Z38)</f>
        <v>174.66666666666666</v>
      </c>
      <c r="AA35" s="142">
        <f>AVERAGE(AA36,AA37,AA38)</f>
        <v>146</v>
      </c>
      <c r="AB35" s="219">
        <f>F36+J36+N36+R36+V36</f>
        <v>1</v>
      </c>
    </row>
    <row r="36" spans="1:28" s="38" customFormat="1" ht="15.75" customHeight="1">
      <c r="A36" s="222" t="s">
        <v>113</v>
      </c>
      <c r="B36" s="223"/>
      <c r="C36" s="150">
        <v>30</v>
      </c>
      <c r="D36" s="59">
        <v>144</v>
      </c>
      <c r="E36" s="50">
        <f>D36+C36</f>
        <v>174</v>
      </c>
      <c r="F36" s="224">
        <v>0</v>
      </c>
      <c r="G36" s="225"/>
      <c r="H36" s="97">
        <v>125</v>
      </c>
      <c r="I36" s="46">
        <f>H36+C36</f>
        <v>155</v>
      </c>
      <c r="J36" s="224">
        <v>0</v>
      </c>
      <c r="K36" s="225"/>
      <c r="L36" s="97">
        <v>142</v>
      </c>
      <c r="M36" s="50">
        <f>L36+C36</f>
        <v>172</v>
      </c>
      <c r="N36" s="224">
        <v>1</v>
      </c>
      <c r="O36" s="225"/>
      <c r="P36" s="97">
        <v>147</v>
      </c>
      <c r="Q36" s="50">
        <f>P36+C36</f>
        <v>177</v>
      </c>
      <c r="R36" s="224">
        <v>0</v>
      </c>
      <c r="S36" s="225"/>
      <c r="T36" s="97">
        <v>145</v>
      </c>
      <c r="U36" s="50">
        <f>T36+C36</f>
        <v>175</v>
      </c>
      <c r="V36" s="224">
        <v>0</v>
      </c>
      <c r="W36" s="225"/>
      <c r="X36" s="46">
        <f t="shared" si="1"/>
        <v>853</v>
      </c>
      <c r="Y36" s="106">
        <f>D36+H36+L36+P36+T36</f>
        <v>703</v>
      </c>
      <c r="Z36" s="67">
        <f>AVERAGE(E36,I36,M36,Q36,U36)</f>
        <v>170.6</v>
      </c>
      <c r="AA36" s="143">
        <f>AVERAGE(E36,I36,M36,Q36,U36)-C36</f>
        <v>140.6</v>
      </c>
      <c r="AB36" s="220"/>
    </row>
    <row r="37" spans="1:28" s="38" customFormat="1" ht="15.75" customHeight="1">
      <c r="A37" s="222" t="s">
        <v>114</v>
      </c>
      <c r="B37" s="223"/>
      <c r="C37" s="150">
        <v>28</v>
      </c>
      <c r="D37" s="59">
        <v>156</v>
      </c>
      <c r="E37" s="50">
        <f>D37+C37</f>
        <v>184</v>
      </c>
      <c r="F37" s="226"/>
      <c r="G37" s="227"/>
      <c r="H37" s="98">
        <v>154</v>
      </c>
      <c r="I37" s="46">
        <f>H37+C37</f>
        <v>182</v>
      </c>
      <c r="J37" s="226"/>
      <c r="K37" s="227"/>
      <c r="L37" s="98">
        <v>174</v>
      </c>
      <c r="M37" s="50">
        <f>L37+C37</f>
        <v>202</v>
      </c>
      <c r="N37" s="226"/>
      <c r="O37" s="227"/>
      <c r="P37" s="98">
        <v>145</v>
      </c>
      <c r="Q37" s="50">
        <f>P37+C37</f>
        <v>173</v>
      </c>
      <c r="R37" s="226"/>
      <c r="S37" s="227"/>
      <c r="T37" s="98">
        <v>121</v>
      </c>
      <c r="U37" s="50">
        <f>T37+C37</f>
        <v>149</v>
      </c>
      <c r="V37" s="226"/>
      <c r="W37" s="227"/>
      <c r="X37" s="46">
        <f t="shared" si="1"/>
        <v>890</v>
      </c>
      <c r="Y37" s="106">
        <f>D37+H37+L37+P37+T37</f>
        <v>750</v>
      </c>
      <c r="Z37" s="67">
        <f>AVERAGE(E37,I37,M37,Q37,U37)</f>
        <v>178</v>
      </c>
      <c r="AA37" s="143">
        <f>AVERAGE(E37,I37,M37,Q37,U37)-C37</f>
        <v>150</v>
      </c>
      <c r="AB37" s="220"/>
    </row>
    <row r="38" spans="1:28" s="38" customFormat="1" ht="16.5" customHeight="1" thickBot="1">
      <c r="A38" s="229" t="s">
        <v>112</v>
      </c>
      <c r="B38" s="230"/>
      <c r="C38" s="151">
        <v>28</v>
      </c>
      <c r="D38" s="60">
        <v>170</v>
      </c>
      <c r="E38" s="50">
        <f>D38+C38</f>
        <v>198</v>
      </c>
      <c r="F38" s="204"/>
      <c r="G38" s="228"/>
      <c r="H38" s="99">
        <v>112</v>
      </c>
      <c r="I38" s="46">
        <f>H38+C38</f>
        <v>140</v>
      </c>
      <c r="J38" s="204"/>
      <c r="K38" s="228"/>
      <c r="L38" s="99">
        <v>140</v>
      </c>
      <c r="M38" s="50">
        <f>L38+C38</f>
        <v>168</v>
      </c>
      <c r="N38" s="204"/>
      <c r="O38" s="228"/>
      <c r="P38" s="99">
        <v>136</v>
      </c>
      <c r="Q38" s="50">
        <f>P38+C38</f>
        <v>164</v>
      </c>
      <c r="R38" s="204"/>
      <c r="S38" s="228"/>
      <c r="T38" s="99">
        <v>179</v>
      </c>
      <c r="U38" s="50">
        <f>T38+C38</f>
        <v>207</v>
      </c>
      <c r="V38" s="204"/>
      <c r="W38" s="228"/>
      <c r="X38" s="47">
        <f t="shared" si="1"/>
        <v>877</v>
      </c>
      <c r="Y38" s="107">
        <f>D38+H38+L38+P38+T38</f>
        <v>737</v>
      </c>
      <c r="Z38" s="68">
        <f>AVERAGE(E38,I38,M38,Q38,U38)</f>
        <v>175.4</v>
      </c>
      <c r="AA38" s="144">
        <f>AVERAGE(E38,I38,M38,Q38,U38)-C38</f>
        <v>147.4</v>
      </c>
      <c r="AB38" s="221"/>
    </row>
    <row r="39" spans="1:28" s="38" customFormat="1" ht="42" customHeight="1">
      <c r="A39" s="217" t="s">
        <v>233</v>
      </c>
      <c r="B39" s="218"/>
      <c r="C39" s="149">
        <f>SUM(C40:C42)</f>
        <v>89</v>
      </c>
      <c r="D39" s="62">
        <f>SUM(D40:D42)</f>
        <v>485</v>
      </c>
      <c r="E39" s="45">
        <f>SUM(E40:E42)</f>
        <v>574</v>
      </c>
      <c r="F39" s="45">
        <f>E51</f>
        <v>559</v>
      </c>
      <c r="G39" s="42" t="str">
        <f>A51</f>
        <v>SADO</v>
      </c>
      <c r="H39" s="62">
        <f>SUM(H40:H42)</f>
        <v>402</v>
      </c>
      <c r="I39" s="45">
        <f>SUM(I40:I42)</f>
        <v>491</v>
      </c>
      <c r="J39" s="45">
        <f>I47</f>
        <v>517</v>
      </c>
      <c r="K39" s="42" t="str">
        <f>A47</f>
        <v>Vest-Wood 1</v>
      </c>
      <c r="L39" s="133">
        <f>SUM(L40:L42)</f>
        <v>513</v>
      </c>
      <c r="M39" s="49">
        <f>SUM(M40:M42)</f>
        <v>602</v>
      </c>
      <c r="N39" s="45">
        <f>M43</f>
        <v>554</v>
      </c>
      <c r="O39" s="42" t="str">
        <f>A43</f>
        <v>LATER</v>
      </c>
      <c r="P39" s="45">
        <f>SUM(P40:P42)</f>
        <v>491</v>
      </c>
      <c r="Q39" s="49">
        <f>SUM(Q40:Q42)</f>
        <v>580</v>
      </c>
      <c r="R39" s="45">
        <f>Q55</f>
        <v>563</v>
      </c>
      <c r="S39" s="42" t="str">
        <f>A55</f>
        <v>Wiru Auto</v>
      </c>
      <c r="T39" s="133">
        <f>SUM(T40:T42)</f>
        <v>470</v>
      </c>
      <c r="U39" s="49">
        <f>SUM(U40:U42)</f>
        <v>559</v>
      </c>
      <c r="V39" s="45">
        <f>U35</f>
        <v>531</v>
      </c>
      <c r="W39" s="42" t="str">
        <f>A35</f>
        <v>VERX</v>
      </c>
      <c r="X39" s="36">
        <f t="shared" si="1"/>
        <v>2806</v>
      </c>
      <c r="Y39" s="105">
        <f>SUM(Y40:Y42)</f>
        <v>2361</v>
      </c>
      <c r="Z39" s="65">
        <f>AVERAGE(Z40,Z41,Z42)</f>
        <v>187.0666666666667</v>
      </c>
      <c r="AA39" s="142">
        <f>AVERAGE(AA40,AA41,AA42)</f>
        <v>157.4</v>
      </c>
      <c r="AB39" s="219">
        <f>F40+J40+N40+R40+V40</f>
        <v>4</v>
      </c>
    </row>
    <row r="40" spans="1:28" s="38" customFormat="1" ht="15.75" customHeight="1">
      <c r="A40" s="222" t="s">
        <v>234</v>
      </c>
      <c r="B40" s="223"/>
      <c r="C40" s="150">
        <v>27</v>
      </c>
      <c r="D40" s="59">
        <v>160</v>
      </c>
      <c r="E40" s="50">
        <f>D40+C40</f>
        <v>187</v>
      </c>
      <c r="F40" s="224">
        <v>1</v>
      </c>
      <c r="G40" s="225"/>
      <c r="H40" s="97">
        <v>126</v>
      </c>
      <c r="I40" s="46">
        <f>H40+C40</f>
        <v>153</v>
      </c>
      <c r="J40" s="224">
        <v>0</v>
      </c>
      <c r="K40" s="225"/>
      <c r="L40" s="97">
        <v>176</v>
      </c>
      <c r="M40" s="50">
        <f>L40+C40</f>
        <v>203</v>
      </c>
      <c r="N40" s="224">
        <v>1</v>
      </c>
      <c r="O40" s="225"/>
      <c r="P40" s="97">
        <v>143</v>
      </c>
      <c r="Q40" s="50">
        <f>P40+C40</f>
        <v>170</v>
      </c>
      <c r="R40" s="224">
        <v>1</v>
      </c>
      <c r="S40" s="225"/>
      <c r="T40" s="97">
        <v>174</v>
      </c>
      <c r="U40" s="50">
        <f>T40+C40</f>
        <v>201</v>
      </c>
      <c r="V40" s="224">
        <v>1</v>
      </c>
      <c r="W40" s="225"/>
      <c r="X40" s="46">
        <f t="shared" si="1"/>
        <v>914</v>
      </c>
      <c r="Y40" s="106">
        <f>D40+H40+L40+P40+T40</f>
        <v>779</v>
      </c>
      <c r="Z40" s="67">
        <f>AVERAGE(E40,I40,M40,Q40,U40)</f>
        <v>182.8</v>
      </c>
      <c r="AA40" s="143">
        <f>AVERAGE(E40,I40,M40,Q40,U40)-C40</f>
        <v>155.8</v>
      </c>
      <c r="AB40" s="220"/>
    </row>
    <row r="41" spans="1:28" s="38" customFormat="1" ht="15.75" customHeight="1">
      <c r="A41" s="222" t="s">
        <v>260</v>
      </c>
      <c r="B41" s="223"/>
      <c r="C41" s="150">
        <v>46</v>
      </c>
      <c r="D41" s="59">
        <v>126</v>
      </c>
      <c r="E41" s="50">
        <f>D41+C41</f>
        <v>172</v>
      </c>
      <c r="F41" s="226"/>
      <c r="G41" s="227"/>
      <c r="H41" s="98">
        <v>141</v>
      </c>
      <c r="I41" s="46">
        <f>H41+C41</f>
        <v>187</v>
      </c>
      <c r="J41" s="226"/>
      <c r="K41" s="227"/>
      <c r="L41" s="98">
        <v>181</v>
      </c>
      <c r="M41" s="50">
        <f>L41+C41</f>
        <v>227</v>
      </c>
      <c r="N41" s="226"/>
      <c r="O41" s="227"/>
      <c r="P41" s="98">
        <v>167</v>
      </c>
      <c r="Q41" s="50">
        <f>P41+C41</f>
        <v>213</v>
      </c>
      <c r="R41" s="226"/>
      <c r="S41" s="227"/>
      <c r="T41" s="98">
        <v>133</v>
      </c>
      <c r="U41" s="50">
        <f>T41+C41</f>
        <v>179</v>
      </c>
      <c r="V41" s="226"/>
      <c r="W41" s="227"/>
      <c r="X41" s="46">
        <f t="shared" si="1"/>
        <v>978</v>
      </c>
      <c r="Y41" s="106">
        <f>D41+H41+L41+P41+T41</f>
        <v>748</v>
      </c>
      <c r="Z41" s="67">
        <f>AVERAGE(E41,I41,M41,Q41,U41)</f>
        <v>195.6</v>
      </c>
      <c r="AA41" s="143">
        <f>AVERAGE(E41,I41,M41,Q41,U41)-C41</f>
        <v>149.6</v>
      </c>
      <c r="AB41" s="220"/>
    </row>
    <row r="42" spans="1:28" s="38" customFormat="1" ht="15.75" customHeight="1" thickBot="1">
      <c r="A42" s="229" t="s">
        <v>236</v>
      </c>
      <c r="B42" s="230"/>
      <c r="C42" s="151">
        <v>16</v>
      </c>
      <c r="D42" s="60">
        <v>199</v>
      </c>
      <c r="E42" s="50">
        <f>D42+C42</f>
        <v>215</v>
      </c>
      <c r="F42" s="204"/>
      <c r="G42" s="228"/>
      <c r="H42" s="99">
        <v>135</v>
      </c>
      <c r="I42" s="46">
        <f>H42+C42</f>
        <v>151</v>
      </c>
      <c r="J42" s="204"/>
      <c r="K42" s="228"/>
      <c r="L42" s="99">
        <v>156</v>
      </c>
      <c r="M42" s="50">
        <f>L42+C42</f>
        <v>172</v>
      </c>
      <c r="N42" s="204"/>
      <c r="O42" s="228"/>
      <c r="P42" s="99">
        <v>181</v>
      </c>
      <c r="Q42" s="50">
        <f>P42+C42</f>
        <v>197</v>
      </c>
      <c r="R42" s="204"/>
      <c r="S42" s="228"/>
      <c r="T42" s="99">
        <v>163</v>
      </c>
      <c r="U42" s="50">
        <f>T42+C42</f>
        <v>179</v>
      </c>
      <c r="V42" s="204"/>
      <c r="W42" s="228"/>
      <c r="X42" s="47">
        <f t="shared" si="1"/>
        <v>914</v>
      </c>
      <c r="Y42" s="107">
        <f>D42+H42+L42+P42+T42</f>
        <v>834</v>
      </c>
      <c r="Z42" s="68">
        <f>AVERAGE(E42,I42,M42,Q42,U42)</f>
        <v>182.8</v>
      </c>
      <c r="AA42" s="144">
        <f>AVERAGE(E42,I42,M42,Q42,U42)-C42</f>
        <v>166.8</v>
      </c>
      <c r="AB42" s="221"/>
    </row>
    <row r="43" spans="1:28" s="38" customFormat="1" ht="42" customHeight="1">
      <c r="A43" s="217" t="s">
        <v>75</v>
      </c>
      <c r="B43" s="218"/>
      <c r="C43" s="149">
        <f>SUM(C44:C46)</f>
        <v>87</v>
      </c>
      <c r="D43" s="62">
        <f>SUM(D44:D46)</f>
        <v>466</v>
      </c>
      <c r="E43" s="45">
        <f>SUM(E44:E46)</f>
        <v>553</v>
      </c>
      <c r="F43" s="45">
        <f>E47</f>
        <v>606</v>
      </c>
      <c r="G43" s="42" t="str">
        <f>A47</f>
        <v>Vest-Wood 1</v>
      </c>
      <c r="H43" s="62">
        <f>SUM(H44:H46)</f>
        <v>433</v>
      </c>
      <c r="I43" s="45">
        <f>SUM(I44:I46)</f>
        <v>520</v>
      </c>
      <c r="J43" s="45">
        <f>I55</f>
        <v>531</v>
      </c>
      <c r="K43" s="42" t="str">
        <f>A55</f>
        <v>Wiru Auto</v>
      </c>
      <c r="L43" s="133">
        <f>SUM(L44:L46)</f>
        <v>467</v>
      </c>
      <c r="M43" s="69">
        <f>SUM(M44:M46)</f>
        <v>554</v>
      </c>
      <c r="N43" s="45">
        <f>M39</f>
        <v>602</v>
      </c>
      <c r="O43" s="42" t="str">
        <f>A39</f>
        <v>AKAT 1</v>
      </c>
      <c r="P43" s="45">
        <f>SUM(P44:P46)</f>
        <v>477</v>
      </c>
      <c r="Q43" s="49">
        <f>SUM(Q44:Q46)</f>
        <v>564</v>
      </c>
      <c r="R43" s="45">
        <f>Q35</f>
        <v>514</v>
      </c>
      <c r="S43" s="42" t="str">
        <f>A35</f>
        <v>VERX</v>
      </c>
      <c r="T43" s="133">
        <f>SUM(T44:T46)</f>
        <v>443</v>
      </c>
      <c r="U43" s="69">
        <f>SUM(U44:U46)</f>
        <v>530</v>
      </c>
      <c r="V43" s="45">
        <f>U51</f>
        <v>519</v>
      </c>
      <c r="W43" s="42" t="str">
        <f>A51</f>
        <v>SADO</v>
      </c>
      <c r="X43" s="36">
        <f t="shared" si="1"/>
        <v>2721</v>
      </c>
      <c r="Y43" s="105">
        <f>SUM(Y44:Y46)</f>
        <v>2286</v>
      </c>
      <c r="Z43" s="65">
        <f>AVERAGE(Z44,Z45,Z46)</f>
        <v>181.4</v>
      </c>
      <c r="AA43" s="142">
        <f>AVERAGE(AA44,AA45,AA46)</f>
        <v>152.4</v>
      </c>
      <c r="AB43" s="219">
        <f>F44+J44+N44+R44+V44</f>
        <v>2</v>
      </c>
    </row>
    <row r="44" spans="1:28" s="38" customFormat="1" ht="15.75" customHeight="1">
      <c r="A44" s="222" t="s">
        <v>86</v>
      </c>
      <c r="B44" s="223"/>
      <c r="C44" s="150">
        <v>26</v>
      </c>
      <c r="D44" s="59">
        <v>149</v>
      </c>
      <c r="E44" s="50">
        <f>D44+C44</f>
        <v>175</v>
      </c>
      <c r="F44" s="224">
        <v>0</v>
      </c>
      <c r="G44" s="225"/>
      <c r="H44" s="97">
        <v>154</v>
      </c>
      <c r="I44" s="46">
        <f>H44+C44</f>
        <v>180</v>
      </c>
      <c r="J44" s="224">
        <v>0</v>
      </c>
      <c r="K44" s="225"/>
      <c r="L44" s="97">
        <v>182</v>
      </c>
      <c r="M44" s="50">
        <f>L44+C44</f>
        <v>208</v>
      </c>
      <c r="N44" s="224">
        <v>0</v>
      </c>
      <c r="O44" s="225"/>
      <c r="P44" s="97">
        <v>165</v>
      </c>
      <c r="Q44" s="50">
        <f>P44+C44</f>
        <v>191</v>
      </c>
      <c r="R44" s="224">
        <v>1</v>
      </c>
      <c r="S44" s="225"/>
      <c r="T44" s="97">
        <v>180</v>
      </c>
      <c r="U44" s="50">
        <f>T44+C44</f>
        <v>206</v>
      </c>
      <c r="V44" s="224">
        <v>1</v>
      </c>
      <c r="W44" s="225"/>
      <c r="X44" s="46">
        <f t="shared" si="1"/>
        <v>960</v>
      </c>
      <c r="Y44" s="106">
        <f>D44+H44+L44+P44+T44</f>
        <v>830</v>
      </c>
      <c r="Z44" s="67">
        <f>AVERAGE(E44,I44,M44,Q44,U44)</f>
        <v>192</v>
      </c>
      <c r="AA44" s="143">
        <f>AVERAGE(E44,I44,M44,Q44,U44)-C44</f>
        <v>166</v>
      </c>
      <c r="AB44" s="220"/>
    </row>
    <row r="45" spans="1:28" s="38" customFormat="1" ht="15.75" customHeight="1">
      <c r="A45" s="222" t="s">
        <v>85</v>
      </c>
      <c r="B45" s="223"/>
      <c r="C45" s="150">
        <v>41</v>
      </c>
      <c r="D45" s="59">
        <v>167</v>
      </c>
      <c r="E45" s="50">
        <f>D45+C45</f>
        <v>208</v>
      </c>
      <c r="F45" s="226"/>
      <c r="G45" s="227"/>
      <c r="H45" s="98">
        <v>140</v>
      </c>
      <c r="I45" s="46">
        <f>H45+C45</f>
        <v>181</v>
      </c>
      <c r="J45" s="226"/>
      <c r="K45" s="227"/>
      <c r="L45" s="98">
        <v>110</v>
      </c>
      <c r="M45" s="50">
        <f>L45+C45</f>
        <v>151</v>
      </c>
      <c r="N45" s="226"/>
      <c r="O45" s="227"/>
      <c r="P45" s="98">
        <v>142</v>
      </c>
      <c r="Q45" s="50">
        <f>P45+C45</f>
        <v>183</v>
      </c>
      <c r="R45" s="226"/>
      <c r="S45" s="227"/>
      <c r="T45" s="98">
        <v>137</v>
      </c>
      <c r="U45" s="50">
        <f>T45+C45</f>
        <v>178</v>
      </c>
      <c r="V45" s="226"/>
      <c r="W45" s="227"/>
      <c r="X45" s="46">
        <f t="shared" si="1"/>
        <v>901</v>
      </c>
      <c r="Y45" s="106">
        <f>D45+H45+L45+P45+T45</f>
        <v>696</v>
      </c>
      <c r="Z45" s="67">
        <f>AVERAGE(E45,I45,M45,Q45,U45)</f>
        <v>180.2</v>
      </c>
      <c r="AA45" s="143">
        <f>AVERAGE(E45,I45,M45,Q45,U45)-C45</f>
        <v>139.2</v>
      </c>
      <c r="AB45" s="220"/>
    </row>
    <row r="46" spans="1:28" s="38" customFormat="1" ht="15.75" customHeight="1" thickBot="1">
      <c r="A46" s="229" t="s">
        <v>307</v>
      </c>
      <c r="B46" s="230"/>
      <c r="C46" s="151">
        <v>20</v>
      </c>
      <c r="D46" s="60">
        <v>150</v>
      </c>
      <c r="E46" s="50">
        <f>D46+C46</f>
        <v>170</v>
      </c>
      <c r="F46" s="204"/>
      <c r="G46" s="228"/>
      <c r="H46" s="99">
        <v>139</v>
      </c>
      <c r="I46" s="46">
        <f>H46+C46</f>
        <v>159</v>
      </c>
      <c r="J46" s="204"/>
      <c r="K46" s="228"/>
      <c r="L46" s="99">
        <v>175</v>
      </c>
      <c r="M46" s="50">
        <f>L46+C46</f>
        <v>195</v>
      </c>
      <c r="N46" s="204"/>
      <c r="O46" s="228"/>
      <c r="P46" s="99">
        <v>170</v>
      </c>
      <c r="Q46" s="50">
        <f>P46+C46</f>
        <v>190</v>
      </c>
      <c r="R46" s="204"/>
      <c r="S46" s="228"/>
      <c r="T46" s="99">
        <v>126</v>
      </c>
      <c r="U46" s="50">
        <f>T46+C46</f>
        <v>146</v>
      </c>
      <c r="V46" s="204"/>
      <c r="W46" s="228"/>
      <c r="X46" s="47">
        <f t="shared" si="1"/>
        <v>860</v>
      </c>
      <c r="Y46" s="107">
        <f>D46+H46+L46+P46+T46</f>
        <v>760</v>
      </c>
      <c r="Z46" s="68">
        <f>AVERAGE(E46,I46,M46,Q46,U46)</f>
        <v>172</v>
      </c>
      <c r="AA46" s="144">
        <f>AVERAGE(E46,I46,M46,Q46,U46)-C46</f>
        <v>152</v>
      </c>
      <c r="AB46" s="221"/>
    </row>
    <row r="47" spans="1:28" s="38" customFormat="1" ht="42" customHeight="1">
      <c r="A47" s="217" t="s">
        <v>173</v>
      </c>
      <c r="B47" s="218"/>
      <c r="C47" s="149">
        <f>SUM(C48:C50)</f>
        <v>112</v>
      </c>
      <c r="D47" s="62">
        <f>SUM(D48:D50)</f>
        <v>494</v>
      </c>
      <c r="E47" s="45">
        <f>SUM(E48:E50)</f>
        <v>606</v>
      </c>
      <c r="F47" s="45">
        <f>E43</f>
        <v>553</v>
      </c>
      <c r="G47" s="42" t="str">
        <f>A43</f>
        <v>LATER</v>
      </c>
      <c r="H47" s="62">
        <f>SUM(H48:H50)</f>
        <v>405</v>
      </c>
      <c r="I47" s="45">
        <f>SUM(I48:I50)</f>
        <v>517</v>
      </c>
      <c r="J47" s="45">
        <f>I39</f>
        <v>491</v>
      </c>
      <c r="K47" s="42" t="str">
        <f>A39</f>
        <v>AKAT 1</v>
      </c>
      <c r="L47" s="133">
        <f>SUM(L48:L50)</f>
        <v>392</v>
      </c>
      <c r="M47" s="49">
        <f>SUM(M48:M50)</f>
        <v>504</v>
      </c>
      <c r="N47" s="45">
        <f>M35</f>
        <v>542</v>
      </c>
      <c r="O47" s="42" t="str">
        <f>A35</f>
        <v>VERX</v>
      </c>
      <c r="P47" s="45">
        <f>SUM(P48:P50)</f>
        <v>398</v>
      </c>
      <c r="Q47" s="49">
        <f>SUM(Q48:Q50)</f>
        <v>510</v>
      </c>
      <c r="R47" s="45">
        <f>Q51</f>
        <v>548</v>
      </c>
      <c r="S47" s="42" t="str">
        <f>A51</f>
        <v>SADO</v>
      </c>
      <c r="T47" s="133">
        <f>SUM(T48:T50)</f>
        <v>378</v>
      </c>
      <c r="U47" s="49">
        <f>SUM(U48:U50)</f>
        <v>490</v>
      </c>
      <c r="V47" s="45">
        <f>U55</f>
        <v>509</v>
      </c>
      <c r="W47" s="42" t="str">
        <f>A55</f>
        <v>Wiru Auto</v>
      </c>
      <c r="X47" s="36">
        <f t="shared" si="1"/>
        <v>2627</v>
      </c>
      <c r="Y47" s="105">
        <f>SUM(Y48:Y50)</f>
        <v>2067</v>
      </c>
      <c r="Z47" s="65">
        <f>AVERAGE(Z48,Z49,Z50)</f>
        <v>175.13333333333333</v>
      </c>
      <c r="AA47" s="142">
        <f>AVERAGE(AA48,AA49,AA50)</f>
        <v>137.79999999999998</v>
      </c>
      <c r="AB47" s="219">
        <f>F48+J48+N48+R48+V48</f>
        <v>2</v>
      </c>
    </row>
    <row r="48" spans="1:28" s="38" customFormat="1" ht="15.75" customHeight="1">
      <c r="A48" s="222" t="s">
        <v>188</v>
      </c>
      <c r="B48" s="223"/>
      <c r="C48" s="150">
        <v>49</v>
      </c>
      <c r="D48" s="59">
        <v>161</v>
      </c>
      <c r="E48" s="50">
        <f>D48+C48</f>
        <v>210</v>
      </c>
      <c r="F48" s="224">
        <v>1</v>
      </c>
      <c r="G48" s="225"/>
      <c r="H48" s="97">
        <v>144</v>
      </c>
      <c r="I48" s="46">
        <f>H48+C48</f>
        <v>193</v>
      </c>
      <c r="J48" s="224">
        <v>1</v>
      </c>
      <c r="K48" s="225"/>
      <c r="L48" s="97">
        <v>93</v>
      </c>
      <c r="M48" s="50">
        <f>L48+C48</f>
        <v>142</v>
      </c>
      <c r="N48" s="224">
        <v>0</v>
      </c>
      <c r="O48" s="225"/>
      <c r="P48" s="97">
        <v>129</v>
      </c>
      <c r="Q48" s="50">
        <f>P48+C48</f>
        <v>178</v>
      </c>
      <c r="R48" s="224">
        <v>0</v>
      </c>
      <c r="S48" s="225"/>
      <c r="T48" s="97">
        <v>144</v>
      </c>
      <c r="U48" s="50">
        <f>T48+C48</f>
        <v>193</v>
      </c>
      <c r="V48" s="224">
        <v>0</v>
      </c>
      <c r="W48" s="225"/>
      <c r="X48" s="46">
        <f t="shared" si="1"/>
        <v>916</v>
      </c>
      <c r="Y48" s="106">
        <f>D48+H48+L48+P48+T48</f>
        <v>671</v>
      </c>
      <c r="Z48" s="67">
        <f>AVERAGE(E48,I48,M48,Q48,U48)</f>
        <v>183.2</v>
      </c>
      <c r="AA48" s="143">
        <f>AVERAGE(E48,I48,M48,Q48,U48)-C48</f>
        <v>134.2</v>
      </c>
      <c r="AB48" s="220"/>
    </row>
    <row r="49" spans="1:28" s="38" customFormat="1" ht="15.75" customHeight="1">
      <c r="A49" s="222" t="s">
        <v>194</v>
      </c>
      <c r="B49" s="223"/>
      <c r="C49" s="150">
        <v>41</v>
      </c>
      <c r="D49" s="59">
        <v>168</v>
      </c>
      <c r="E49" s="50">
        <f>D49+C49</f>
        <v>209</v>
      </c>
      <c r="F49" s="226"/>
      <c r="G49" s="227"/>
      <c r="H49" s="98">
        <v>126</v>
      </c>
      <c r="I49" s="46">
        <f>H49+C49</f>
        <v>167</v>
      </c>
      <c r="J49" s="226"/>
      <c r="K49" s="227"/>
      <c r="L49" s="98">
        <v>133</v>
      </c>
      <c r="M49" s="50">
        <f>L49+C49</f>
        <v>174</v>
      </c>
      <c r="N49" s="226"/>
      <c r="O49" s="227"/>
      <c r="P49" s="98">
        <v>111</v>
      </c>
      <c r="Q49" s="50">
        <f>P49+C49</f>
        <v>152</v>
      </c>
      <c r="R49" s="226"/>
      <c r="S49" s="227"/>
      <c r="T49" s="98">
        <v>120</v>
      </c>
      <c r="U49" s="50">
        <f>T49+C49</f>
        <v>161</v>
      </c>
      <c r="V49" s="226"/>
      <c r="W49" s="227"/>
      <c r="X49" s="46">
        <f t="shared" si="1"/>
        <v>863</v>
      </c>
      <c r="Y49" s="106">
        <f>D49+H49+L49+P49+T49</f>
        <v>658</v>
      </c>
      <c r="Z49" s="67">
        <f>AVERAGE(E49,I49,M49,Q49,U49)</f>
        <v>172.6</v>
      </c>
      <c r="AA49" s="143">
        <f>AVERAGE(E49,I49,M49,Q49,U49)-C49</f>
        <v>131.6</v>
      </c>
      <c r="AB49" s="220"/>
    </row>
    <row r="50" spans="1:29" s="38" customFormat="1" ht="15.75" customHeight="1" thickBot="1">
      <c r="A50" s="231" t="s">
        <v>190</v>
      </c>
      <c r="B50" s="232"/>
      <c r="C50" s="151">
        <v>22</v>
      </c>
      <c r="D50" s="60">
        <v>165</v>
      </c>
      <c r="E50" s="50">
        <f>D50+C50</f>
        <v>187</v>
      </c>
      <c r="F50" s="204"/>
      <c r="G50" s="228"/>
      <c r="H50" s="99">
        <v>135</v>
      </c>
      <c r="I50" s="46">
        <f>H50+C50</f>
        <v>157</v>
      </c>
      <c r="J50" s="204"/>
      <c r="K50" s="228"/>
      <c r="L50" s="99">
        <v>166</v>
      </c>
      <c r="M50" s="50">
        <f>L50+C50</f>
        <v>188</v>
      </c>
      <c r="N50" s="204"/>
      <c r="O50" s="228"/>
      <c r="P50" s="99">
        <v>158</v>
      </c>
      <c r="Q50" s="50">
        <f>P50+C50</f>
        <v>180</v>
      </c>
      <c r="R50" s="204"/>
      <c r="S50" s="228"/>
      <c r="T50" s="99">
        <v>114</v>
      </c>
      <c r="U50" s="50">
        <f>T50+C50</f>
        <v>136</v>
      </c>
      <c r="V50" s="204"/>
      <c r="W50" s="228"/>
      <c r="X50" s="47">
        <f t="shared" si="1"/>
        <v>848</v>
      </c>
      <c r="Y50" s="107">
        <f>D50+H50+L50+P50+T50</f>
        <v>738</v>
      </c>
      <c r="Z50" s="68">
        <f>AVERAGE(E50,I50,M50,Q50,U50)</f>
        <v>169.6</v>
      </c>
      <c r="AA50" s="144">
        <f>AVERAGE(E50,I50,M50,Q50,U50)-C50</f>
        <v>147.6</v>
      </c>
      <c r="AB50" s="221"/>
      <c r="AC50" s="44"/>
    </row>
    <row r="51" spans="1:28" s="38" customFormat="1" ht="42" customHeight="1">
      <c r="A51" s="217" t="s">
        <v>76</v>
      </c>
      <c r="B51" s="218"/>
      <c r="C51" s="149">
        <f>SUM(C52:C54)</f>
        <v>114</v>
      </c>
      <c r="D51" s="62">
        <f>SUM(D52:D54)</f>
        <v>445</v>
      </c>
      <c r="E51" s="45">
        <f>SUM(E52:E54)</f>
        <v>559</v>
      </c>
      <c r="F51" s="45">
        <f>E39</f>
        <v>574</v>
      </c>
      <c r="G51" s="42" t="str">
        <f>A39</f>
        <v>AKAT 1</v>
      </c>
      <c r="H51" s="62">
        <f>SUM(H52:H54)</f>
        <v>414</v>
      </c>
      <c r="I51" s="45">
        <f>SUM(I52:I54)</f>
        <v>528</v>
      </c>
      <c r="J51" s="45">
        <f>I35</f>
        <v>477</v>
      </c>
      <c r="K51" s="42" t="str">
        <f>A35</f>
        <v>VERX</v>
      </c>
      <c r="L51" s="133">
        <f>SUM(L52:L54)</f>
        <v>440</v>
      </c>
      <c r="M51" s="69">
        <f>SUM(M52:M54)</f>
        <v>554</v>
      </c>
      <c r="N51" s="45">
        <f>M55</f>
        <v>551</v>
      </c>
      <c r="O51" s="42" t="str">
        <f>A55</f>
        <v>Wiru Auto</v>
      </c>
      <c r="P51" s="45">
        <f>SUM(P52:P54)</f>
        <v>434</v>
      </c>
      <c r="Q51" s="69">
        <f>SUM(Q52:Q54)</f>
        <v>548</v>
      </c>
      <c r="R51" s="45">
        <f>Q47</f>
        <v>510</v>
      </c>
      <c r="S51" s="42" t="str">
        <f>A47</f>
        <v>Vest-Wood 1</v>
      </c>
      <c r="T51" s="133">
        <f>SUM(T52:T54)</f>
        <v>405</v>
      </c>
      <c r="U51" s="69">
        <f>SUM(U52:U54)</f>
        <v>519</v>
      </c>
      <c r="V51" s="45">
        <f>U43</f>
        <v>530</v>
      </c>
      <c r="W51" s="42" t="str">
        <f>A43</f>
        <v>LATER</v>
      </c>
      <c r="X51" s="36">
        <f t="shared" si="1"/>
        <v>2708</v>
      </c>
      <c r="Y51" s="105">
        <f>SUM(Y52:Y54)</f>
        <v>2138</v>
      </c>
      <c r="Z51" s="65">
        <f>AVERAGE(Z52,Z53,Z54)</f>
        <v>180.5333333333333</v>
      </c>
      <c r="AA51" s="142">
        <f>AVERAGE(AA52,AA53,AA54)</f>
        <v>142.53333333333333</v>
      </c>
      <c r="AB51" s="219">
        <f>F52+J52+N52+R52+V52</f>
        <v>3</v>
      </c>
    </row>
    <row r="52" spans="1:28" s="38" customFormat="1" ht="15.75" customHeight="1">
      <c r="A52" s="222" t="s">
        <v>90</v>
      </c>
      <c r="B52" s="223"/>
      <c r="C52" s="150">
        <v>44</v>
      </c>
      <c r="D52" s="59">
        <v>180</v>
      </c>
      <c r="E52" s="50">
        <f>D52+C52</f>
        <v>224</v>
      </c>
      <c r="F52" s="224">
        <v>0</v>
      </c>
      <c r="G52" s="225"/>
      <c r="H52" s="97">
        <v>127</v>
      </c>
      <c r="I52" s="46">
        <f>H52+C52</f>
        <v>171</v>
      </c>
      <c r="J52" s="224">
        <v>1</v>
      </c>
      <c r="K52" s="225"/>
      <c r="L52" s="97">
        <v>137</v>
      </c>
      <c r="M52" s="50">
        <f>L52+C52</f>
        <v>181</v>
      </c>
      <c r="N52" s="224">
        <v>1</v>
      </c>
      <c r="O52" s="225"/>
      <c r="P52" s="97">
        <v>132</v>
      </c>
      <c r="Q52" s="50">
        <f>P52+C52</f>
        <v>176</v>
      </c>
      <c r="R52" s="224">
        <v>1</v>
      </c>
      <c r="S52" s="225"/>
      <c r="T52" s="97">
        <v>134</v>
      </c>
      <c r="U52" s="50">
        <f>T52+C52</f>
        <v>178</v>
      </c>
      <c r="V52" s="224">
        <v>0</v>
      </c>
      <c r="W52" s="225"/>
      <c r="X52" s="46">
        <f t="shared" si="1"/>
        <v>930</v>
      </c>
      <c r="Y52" s="106">
        <f>D52+H52+L52+P52+T52</f>
        <v>710</v>
      </c>
      <c r="Z52" s="67">
        <f>AVERAGE(E52,I52,M52,Q52,U52)</f>
        <v>186</v>
      </c>
      <c r="AA52" s="143">
        <f>AVERAGE(E52,I52,M52,Q52,U52)-C52</f>
        <v>142</v>
      </c>
      <c r="AB52" s="220"/>
    </row>
    <row r="53" spans="1:28" s="38" customFormat="1" ht="15.75" customHeight="1">
      <c r="A53" s="222" t="s">
        <v>98</v>
      </c>
      <c r="B53" s="223"/>
      <c r="C53" s="150">
        <v>51</v>
      </c>
      <c r="D53" s="59">
        <v>106</v>
      </c>
      <c r="E53" s="50">
        <f>D53+C53</f>
        <v>157</v>
      </c>
      <c r="F53" s="226"/>
      <c r="G53" s="227"/>
      <c r="H53" s="98">
        <v>101</v>
      </c>
      <c r="I53" s="46">
        <f>H53+C53</f>
        <v>152</v>
      </c>
      <c r="J53" s="226"/>
      <c r="K53" s="227"/>
      <c r="L53" s="98">
        <v>130</v>
      </c>
      <c r="M53" s="50">
        <f>L53+C53</f>
        <v>181</v>
      </c>
      <c r="N53" s="226"/>
      <c r="O53" s="227"/>
      <c r="P53" s="98">
        <v>125</v>
      </c>
      <c r="Q53" s="50">
        <f>P53+C53</f>
        <v>176</v>
      </c>
      <c r="R53" s="226"/>
      <c r="S53" s="227"/>
      <c r="T53" s="98">
        <v>115</v>
      </c>
      <c r="U53" s="50">
        <f>T53+C53</f>
        <v>166</v>
      </c>
      <c r="V53" s="226"/>
      <c r="W53" s="227"/>
      <c r="X53" s="46">
        <f t="shared" si="1"/>
        <v>832</v>
      </c>
      <c r="Y53" s="106">
        <f>D53+H53+L53+P53+T53</f>
        <v>577</v>
      </c>
      <c r="Z53" s="67">
        <f>AVERAGE(E53,I53,M53,Q53,U53)</f>
        <v>166.4</v>
      </c>
      <c r="AA53" s="143">
        <f>AVERAGE(E53,I53,M53,Q53,U53)-C53</f>
        <v>115.4</v>
      </c>
      <c r="AB53" s="220"/>
    </row>
    <row r="54" spans="1:28" s="38" customFormat="1" ht="15.75" customHeight="1" thickBot="1">
      <c r="A54" s="229" t="s">
        <v>91</v>
      </c>
      <c r="B54" s="230"/>
      <c r="C54" s="151">
        <v>19</v>
      </c>
      <c r="D54" s="60">
        <v>159</v>
      </c>
      <c r="E54" s="50">
        <f>D54+C54</f>
        <v>178</v>
      </c>
      <c r="F54" s="204"/>
      <c r="G54" s="228"/>
      <c r="H54" s="99">
        <v>186</v>
      </c>
      <c r="I54" s="46">
        <f>H54+C54</f>
        <v>205</v>
      </c>
      <c r="J54" s="204"/>
      <c r="K54" s="228"/>
      <c r="L54" s="99">
        <v>173</v>
      </c>
      <c r="M54" s="50">
        <f>L54+C54</f>
        <v>192</v>
      </c>
      <c r="N54" s="204"/>
      <c r="O54" s="228"/>
      <c r="P54" s="99">
        <v>177</v>
      </c>
      <c r="Q54" s="50">
        <f>P54+C54</f>
        <v>196</v>
      </c>
      <c r="R54" s="204"/>
      <c r="S54" s="228"/>
      <c r="T54" s="99">
        <v>156</v>
      </c>
      <c r="U54" s="50">
        <f>T54+C54</f>
        <v>175</v>
      </c>
      <c r="V54" s="204"/>
      <c r="W54" s="228"/>
      <c r="X54" s="47">
        <f t="shared" si="1"/>
        <v>946</v>
      </c>
      <c r="Y54" s="107">
        <f>D54+H54+L54+P54+T54</f>
        <v>851</v>
      </c>
      <c r="Z54" s="68">
        <f>AVERAGE(E54,I54,M54,Q54,U54)</f>
        <v>189.2</v>
      </c>
      <c r="AA54" s="144">
        <f>AVERAGE(E54,I54,M54,Q54,U54)-C54</f>
        <v>170.2</v>
      </c>
      <c r="AB54" s="221"/>
    </row>
    <row r="55" spans="1:28" s="38" customFormat="1" ht="42" customHeight="1">
      <c r="A55" s="217" t="s">
        <v>162</v>
      </c>
      <c r="B55" s="218"/>
      <c r="C55" s="149">
        <f>SUM(C56:C58)</f>
        <v>138</v>
      </c>
      <c r="D55" s="62">
        <f>SUM(D56:D58)</f>
        <v>444</v>
      </c>
      <c r="E55" s="45">
        <f>SUM(E56:E58)</f>
        <v>582</v>
      </c>
      <c r="F55" s="45">
        <f>E35</f>
        <v>556</v>
      </c>
      <c r="G55" s="42" t="str">
        <f>A35</f>
        <v>VERX</v>
      </c>
      <c r="H55" s="62">
        <f>SUM(H56:H58)</f>
        <v>393</v>
      </c>
      <c r="I55" s="45">
        <f>SUM(I56:I58)</f>
        <v>531</v>
      </c>
      <c r="J55" s="45">
        <f>I43</f>
        <v>520</v>
      </c>
      <c r="K55" s="42" t="str">
        <f>A43</f>
        <v>LATER</v>
      </c>
      <c r="L55" s="133">
        <f>SUM(L56:L58)</f>
        <v>413</v>
      </c>
      <c r="M55" s="49">
        <f>SUM(M56:M58)</f>
        <v>551</v>
      </c>
      <c r="N55" s="45">
        <f>M51</f>
        <v>554</v>
      </c>
      <c r="O55" s="42" t="str">
        <f>A51</f>
        <v>SADO</v>
      </c>
      <c r="P55" s="45">
        <f>SUM(P56:P58)</f>
        <v>425</v>
      </c>
      <c r="Q55" s="49">
        <f>SUM(Q56:Q58)</f>
        <v>563</v>
      </c>
      <c r="R55" s="45">
        <f>Q39</f>
        <v>580</v>
      </c>
      <c r="S55" s="42" t="str">
        <f>A39</f>
        <v>AKAT 1</v>
      </c>
      <c r="T55" s="133">
        <f>SUM(T56:T58)</f>
        <v>371</v>
      </c>
      <c r="U55" s="49">
        <f>SUM(U56:U58)</f>
        <v>509</v>
      </c>
      <c r="V55" s="45">
        <f>U47</f>
        <v>490</v>
      </c>
      <c r="W55" s="42" t="str">
        <f>A47</f>
        <v>Vest-Wood 1</v>
      </c>
      <c r="X55" s="36">
        <f t="shared" si="1"/>
        <v>2736</v>
      </c>
      <c r="Y55" s="105">
        <f>SUM(Y56:Y58)</f>
        <v>2046</v>
      </c>
      <c r="Z55" s="65">
        <f>AVERAGE(Z56,Z57,Z58)</f>
        <v>182.4</v>
      </c>
      <c r="AA55" s="142">
        <f>AVERAGE(AA56,AA57,AA58)</f>
        <v>136.4</v>
      </c>
      <c r="AB55" s="219">
        <f>F56+J56+N56+R56+V56</f>
        <v>3</v>
      </c>
    </row>
    <row r="56" spans="1:28" s="38" customFormat="1" ht="15.75" customHeight="1">
      <c r="A56" s="222" t="s">
        <v>153</v>
      </c>
      <c r="B56" s="223"/>
      <c r="C56" s="150">
        <v>41</v>
      </c>
      <c r="D56" s="59">
        <v>173</v>
      </c>
      <c r="E56" s="50">
        <f>D56+C56</f>
        <v>214</v>
      </c>
      <c r="F56" s="224">
        <v>1</v>
      </c>
      <c r="G56" s="225"/>
      <c r="H56" s="97">
        <v>146</v>
      </c>
      <c r="I56" s="46">
        <f>H56+C56</f>
        <v>187</v>
      </c>
      <c r="J56" s="224">
        <v>1</v>
      </c>
      <c r="K56" s="225"/>
      <c r="L56" s="97">
        <v>140</v>
      </c>
      <c r="M56" s="50">
        <f>L56+C56</f>
        <v>181</v>
      </c>
      <c r="N56" s="224">
        <v>0</v>
      </c>
      <c r="O56" s="225"/>
      <c r="P56" s="97">
        <v>152</v>
      </c>
      <c r="Q56" s="50">
        <f>P56+C56</f>
        <v>193</v>
      </c>
      <c r="R56" s="224">
        <v>0</v>
      </c>
      <c r="S56" s="225"/>
      <c r="T56" s="97">
        <v>124</v>
      </c>
      <c r="U56" s="50">
        <f>T56+C56</f>
        <v>165</v>
      </c>
      <c r="V56" s="224">
        <v>1</v>
      </c>
      <c r="W56" s="225"/>
      <c r="X56" s="46">
        <f t="shared" si="1"/>
        <v>940</v>
      </c>
      <c r="Y56" s="106">
        <f>D56+H56+L56+P56+T56</f>
        <v>735</v>
      </c>
      <c r="Z56" s="67">
        <f>AVERAGE(E56,I56,M56,Q56,U56)</f>
        <v>188</v>
      </c>
      <c r="AA56" s="143">
        <f>AVERAGE(E56,I56,M56,Q56,U56)-C56</f>
        <v>147</v>
      </c>
      <c r="AB56" s="220"/>
    </row>
    <row r="57" spans="1:28" s="38" customFormat="1" ht="15.75" customHeight="1">
      <c r="A57" s="222" t="s">
        <v>154</v>
      </c>
      <c r="B57" s="223"/>
      <c r="C57" s="150">
        <v>55</v>
      </c>
      <c r="D57" s="59">
        <v>104</v>
      </c>
      <c r="E57" s="50">
        <f>D57+C57</f>
        <v>159</v>
      </c>
      <c r="F57" s="226"/>
      <c r="G57" s="227"/>
      <c r="H57" s="98">
        <v>114</v>
      </c>
      <c r="I57" s="46">
        <f>H57+C57</f>
        <v>169</v>
      </c>
      <c r="J57" s="226"/>
      <c r="K57" s="227"/>
      <c r="L57" s="98">
        <v>127</v>
      </c>
      <c r="M57" s="50">
        <f>L57+C57</f>
        <v>182</v>
      </c>
      <c r="N57" s="226"/>
      <c r="O57" s="227"/>
      <c r="P57" s="98">
        <v>163</v>
      </c>
      <c r="Q57" s="50">
        <f>P57+C57</f>
        <v>218</v>
      </c>
      <c r="R57" s="226"/>
      <c r="S57" s="227"/>
      <c r="T57" s="98">
        <v>132</v>
      </c>
      <c r="U57" s="50">
        <f>T57+C57</f>
        <v>187</v>
      </c>
      <c r="V57" s="226"/>
      <c r="W57" s="227"/>
      <c r="X57" s="46">
        <f t="shared" si="1"/>
        <v>915</v>
      </c>
      <c r="Y57" s="106">
        <f>D57+H57+L57+P57+T57</f>
        <v>640</v>
      </c>
      <c r="Z57" s="67">
        <f>AVERAGE(E57,I57,M57,Q57,U57)</f>
        <v>183</v>
      </c>
      <c r="AA57" s="143">
        <f>AVERAGE(E57,I57,M57,Q57,U57)-C57</f>
        <v>128</v>
      </c>
      <c r="AB57" s="220"/>
    </row>
    <row r="58" spans="1:28" s="38" customFormat="1" ht="15.75" customHeight="1" thickBot="1">
      <c r="A58" s="229" t="s">
        <v>155</v>
      </c>
      <c r="B58" s="230"/>
      <c r="C58" s="151">
        <v>42</v>
      </c>
      <c r="D58" s="60">
        <v>167</v>
      </c>
      <c r="E58" s="50">
        <f>D58+C58</f>
        <v>209</v>
      </c>
      <c r="F58" s="204"/>
      <c r="G58" s="228"/>
      <c r="H58" s="99">
        <v>133</v>
      </c>
      <c r="I58" s="46">
        <f>H58+C58</f>
        <v>175</v>
      </c>
      <c r="J58" s="204"/>
      <c r="K58" s="228"/>
      <c r="L58" s="99">
        <v>146</v>
      </c>
      <c r="M58" s="50">
        <f>L58+C58</f>
        <v>188</v>
      </c>
      <c r="N58" s="204"/>
      <c r="O58" s="228"/>
      <c r="P58" s="99">
        <v>110</v>
      </c>
      <c r="Q58" s="50">
        <f>P58+C58</f>
        <v>152</v>
      </c>
      <c r="R58" s="204"/>
      <c r="S58" s="228"/>
      <c r="T58" s="99">
        <v>115</v>
      </c>
      <c r="U58" s="50">
        <f>T58+C58</f>
        <v>157</v>
      </c>
      <c r="V58" s="204"/>
      <c r="W58" s="228"/>
      <c r="X58" s="47">
        <f t="shared" si="1"/>
        <v>881</v>
      </c>
      <c r="Y58" s="107">
        <f>D58+H58+L58+P58+T58</f>
        <v>671</v>
      </c>
      <c r="Z58" s="68">
        <f>AVERAGE(E58,I58,M58,Q58,U58)</f>
        <v>176.2</v>
      </c>
      <c r="AA58" s="144">
        <f>AVERAGE(E58,I58,M58,Q58,U58)-C58</f>
        <v>134.2</v>
      </c>
      <c r="AB58" s="221"/>
    </row>
    <row r="59" ht="15" customHeight="1"/>
    <row r="60" spans="1:28" s="40" customFormat="1" ht="9" customHeight="1">
      <c r="A60" s="207" t="s">
        <v>362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4"/>
      <c r="W60" s="25"/>
      <c r="Y60" s="57"/>
      <c r="Z60" s="41"/>
      <c r="AA60" s="139"/>
      <c r="AB60" s="25"/>
    </row>
    <row r="61" spans="1:28" s="40" customFormat="1" ht="6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4"/>
      <c r="W61" s="25"/>
      <c r="Y61" s="57"/>
      <c r="Z61" s="41"/>
      <c r="AA61" s="139"/>
      <c r="AB61" s="25"/>
    </row>
    <row r="62" spans="1:28" s="40" customFormat="1" ht="23.25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5"/>
      <c r="W62" s="25"/>
      <c r="Y62" s="57"/>
      <c r="Z62" s="41"/>
      <c r="AA62" s="139"/>
      <c r="AB62" s="25"/>
    </row>
    <row r="63" spans="1:28" s="31" customFormat="1" ht="15.75" customHeight="1">
      <c r="A63" s="209" t="s">
        <v>0</v>
      </c>
      <c r="B63" s="210"/>
      <c r="C63" s="147" t="s">
        <v>39</v>
      </c>
      <c r="D63" s="55"/>
      <c r="E63" s="27" t="s">
        <v>1</v>
      </c>
      <c r="F63" s="211" t="s">
        <v>2</v>
      </c>
      <c r="G63" s="212"/>
      <c r="H63" s="94"/>
      <c r="I63" s="27" t="s">
        <v>3</v>
      </c>
      <c r="J63" s="211" t="s">
        <v>2</v>
      </c>
      <c r="K63" s="212"/>
      <c r="L63" s="94"/>
      <c r="M63" s="27" t="s">
        <v>4</v>
      </c>
      <c r="N63" s="211" t="s">
        <v>2</v>
      </c>
      <c r="O63" s="212"/>
      <c r="P63" s="94"/>
      <c r="Q63" s="27" t="s">
        <v>5</v>
      </c>
      <c r="R63" s="211" t="s">
        <v>2</v>
      </c>
      <c r="S63" s="212"/>
      <c r="T63" s="94"/>
      <c r="U63" s="27" t="s">
        <v>6</v>
      </c>
      <c r="V63" s="211" t="s">
        <v>2</v>
      </c>
      <c r="W63" s="212"/>
      <c r="X63" s="28" t="s">
        <v>7</v>
      </c>
      <c r="Y63" s="104"/>
      <c r="Z63" s="29" t="s">
        <v>40</v>
      </c>
      <c r="AA63" s="140" t="s">
        <v>42</v>
      </c>
      <c r="AB63" s="30" t="s">
        <v>7</v>
      </c>
    </row>
    <row r="64" spans="1:28" s="31" customFormat="1" ht="15.75" customHeight="1" thickBot="1">
      <c r="A64" s="213" t="s">
        <v>9</v>
      </c>
      <c r="B64" s="214"/>
      <c r="C64" s="148"/>
      <c r="D64" s="56"/>
      <c r="E64" s="32" t="s">
        <v>10</v>
      </c>
      <c r="F64" s="211" t="s">
        <v>11</v>
      </c>
      <c r="G64" s="212"/>
      <c r="H64" s="95"/>
      <c r="I64" s="32" t="s">
        <v>10</v>
      </c>
      <c r="J64" s="215" t="s">
        <v>11</v>
      </c>
      <c r="K64" s="216"/>
      <c r="L64" s="95"/>
      <c r="M64" s="32" t="s">
        <v>10</v>
      </c>
      <c r="N64" s="215" t="s">
        <v>11</v>
      </c>
      <c r="O64" s="216"/>
      <c r="P64" s="95"/>
      <c r="Q64" s="32" t="s">
        <v>10</v>
      </c>
      <c r="R64" s="215" t="s">
        <v>11</v>
      </c>
      <c r="S64" s="216"/>
      <c r="T64" s="95"/>
      <c r="U64" s="32" t="s">
        <v>10</v>
      </c>
      <c r="V64" s="215" t="s">
        <v>11</v>
      </c>
      <c r="W64" s="216"/>
      <c r="X64" s="33" t="s">
        <v>10</v>
      </c>
      <c r="Y64" s="134" t="s">
        <v>287</v>
      </c>
      <c r="Z64" s="34" t="s">
        <v>41</v>
      </c>
      <c r="AA64" s="141" t="s">
        <v>43</v>
      </c>
      <c r="AB64" s="35" t="s">
        <v>12</v>
      </c>
    </row>
    <row r="65" spans="1:28" s="38" customFormat="1" ht="42" customHeight="1">
      <c r="A65" s="217" t="s">
        <v>69</v>
      </c>
      <c r="B65" s="218"/>
      <c r="C65" s="149">
        <f>SUM(C66:C68)</f>
        <v>54</v>
      </c>
      <c r="D65" s="62">
        <f>SUM(D66:D68)</f>
        <v>490</v>
      </c>
      <c r="E65" s="63">
        <f>SUM(E66:E68)</f>
        <v>544</v>
      </c>
      <c r="F65" s="46">
        <f>E85</f>
        <v>577</v>
      </c>
      <c r="G65" s="64" t="str">
        <f>A85</f>
        <v>VÄRSKA VESI</v>
      </c>
      <c r="H65" s="62">
        <f>SUM(H66:H68)</f>
        <v>510</v>
      </c>
      <c r="I65" s="49">
        <f>SUM(I66:I68)</f>
        <v>564</v>
      </c>
      <c r="J65" s="49">
        <f>I81</f>
        <v>526</v>
      </c>
      <c r="K65" s="42" t="str">
        <f>A81</f>
        <v>Penn&amp; Pärlin</v>
      </c>
      <c r="L65" s="58">
        <f>SUM(L66:L68)</f>
        <v>521</v>
      </c>
      <c r="M65" s="45">
        <f>SUM(M66:M68)</f>
        <v>575</v>
      </c>
      <c r="N65" s="45">
        <f>M77</f>
        <v>535</v>
      </c>
      <c r="O65" s="42" t="str">
        <f>A77</f>
        <v>LAJOS 1</v>
      </c>
      <c r="P65" s="45">
        <f>SUM(P66:P68)</f>
        <v>507</v>
      </c>
      <c r="Q65" s="45">
        <f>SUM(Q66:Q68)</f>
        <v>561</v>
      </c>
      <c r="R65" s="45">
        <f>Q73</f>
        <v>565</v>
      </c>
      <c r="S65" s="42" t="str">
        <f>A73</f>
        <v>PLANRAY</v>
      </c>
      <c r="T65" s="133">
        <f>SUM(T66:T68)</f>
        <v>437</v>
      </c>
      <c r="U65" s="45">
        <f>SUM(U66:U68)</f>
        <v>491</v>
      </c>
      <c r="V65" s="45">
        <f>U69</f>
        <v>605</v>
      </c>
      <c r="W65" s="42" t="str">
        <f>A69</f>
        <v>AVR Projekt</v>
      </c>
      <c r="X65" s="36">
        <f aca="true" t="shared" si="2" ref="X65:X88">E65+I65+M65+Q65+U65</f>
        <v>2735</v>
      </c>
      <c r="Y65" s="105">
        <f>SUM(Y66:Y68)</f>
        <v>2465</v>
      </c>
      <c r="Z65" s="37">
        <f>AVERAGE(Z66,Z67,Z68)</f>
        <v>182.33333333333334</v>
      </c>
      <c r="AA65" s="142">
        <f>AVERAGE(AA66,AA67,AA68)</f>
        <v>164.33333333333334</v>
      </c>
      <c r="AB65" s="219">
        <f>F66+J66+N66+R66+V66</f>
        <v>2</v>
      </c>
    </row>
    <row r="66" spans="1:28" s="38" customFormat="1" ht="15.75" customHeight="1">
      <c r="A66" s="222" t="s">
        <v>26</v>
      </c>
      <c r="B66" s="223"/>
      <c r="C66" s="150">
        <v>6</v>
      </c>
      <c r="D66" s="59">
        <v>172</v>
      </c>
      <c r="E66" s="50">
        <f>D66+C66</f>
        <v>178</v>
      </c>
      <c r="F66" s="224">
        <v>0</v>
      </c>
      <c r="G66" s="225"/>
      <c r="H66" s="97">
        <v>200</v>
      </c>
      <c r="I66" s="46">
        <f>H66+C66</f>
        <v>206</v>
      </c>
      <c r="J66" s="224">
        <v>1</v>
      </c>
      <c r="K66" s="225"/>
      <c r="L66" s="97">
        <v>176</v>
      </c>
      <c r="M66" s="50">
        <f>L66+C66</f>
        <v>182</v>
      </c>
      <c r="N66" s="224">
        <v>1</v>
      </c>
      <c r="O66" s="225"/>
      <c r="P66" s="97">
        <v>212</v>
      </c>
      <c r="Q66" s="50">
        <f>P66+C66</f>
        <v>218</v>
      </c>
      <c r="R66" s="224">
        <v>0</v>
      </c>
      <c r="S66" s="225"/>
      <c r="T66" s="97">
        <v>157</v>
      </c>
      <c r="U66" s="50">
        <f>T66+C66</f>
        <v>163</v>
      </c>
      <c r="V66" s="224">
        <v>0</v>
      </c>
      <c r="W66" s="225"/>
      <c r="X66" s="46">
        <f t="shared" si="2"/>
        <v>947</v>
      </c>
      <c r="Y66" s="106">
        <f>D66+H66+L66+P66+T66</f>
        <v>917</v>
      </c>
      <c r="Z66" s="67">
        <f>AVERAGE(E66,I66,M66,Q66,U66)</f>
        <v>189.4</v>
      </c>
      <c r="AA66" s="143">
        <f>AVERAGE(E66,I66,M66,Q66,U66)-C66</f>
        <v>183.4</v>
      </c>
      <c r="AB66" s="220"/>
    </row>
    <row r="67" spans="1:28" s="38" customFormat="1" ht="15.75" customHeight="1">
      <c r="A67" s="222" t="s">
        <v>27</v>
      </c>
      <c r="B67" s="223"/>
      <c r="C67" s="150">
        <v>22</v>
      </c>
      <c r="D67" s="59">
        <v>176</v>
      </c>
      <c r="E67" s="50">
        <f>D67+C67</f>
        <v>198</v>
      </c>
      <c r="F67" s="226"/>
      <c r="G67" s="227"/>
      <c r="H67" s="98">
        <v>167</v>
      </c>
      <c r="I67" s="46">
        <f>H67+C67</f>
        <v>189</v>
      </c>
      <c r="J67" s="226"/>
      <c r="K67" s="227"/>
      <c r="L67" s="98">
        <v>169</v>
      </c>
      <c r="M67" s="50">
        <f>L67+C67</f>
        <v>191</v>
      </c>
      <c r="N67" s="226"/>
      <c r="O67" s="227"/>
      <c r="P67" s="98">
        <v>155</v>
      </c>
      <c r="Q67" s="50">
        <f>P67+C67</f>
        <v>177</v>
      </c>
      <c r="R67" s="226"/>
      <c r="S67" s="227"/>
      <c r="T67" s="98">
        <v>148</v>
      </c>
      <c r="U67" s="50">
        <f>T67+C67</f>
        <v>170</v>
      </c>
      <c r="V67" s="226"/>
      <c r="W67" s="227"/>
      <c r="X67" s="46">
        <f t="shared" si="2"/>
        <v>925</v>
      </c>
      <c r="Y67" s="106">
        <f>D67+H67+L67+P67+T67</f>
        <v>815</v>
      </c>
      <c r="Z67" s="67">
        <f>AVERAGE(E67,I67,M67,Q67,U67)</f>
        <v>185</v>
      </c>
      <c r="AA67" s="143">
        <f>AVERAGE(E67,I67,M67,Q67,U67)-C67</f>
        <v>163</v>
      </c>
      <c r="AB67" s="220"/>
    </row>
    <row r="68" spans="1:28" s="38" customFormat="1" ht="16.5" customHeight="1" thickBot="1">
      <c r="A68" s="229" t="s">
        <v>29</v>
      </c>
      <c r="B68" s="230"/>
      <c r="C68" s="151">
        <v>26</v>
      </c>
      <c r="D68" s="60">
        <v>142</v>
      </c>
      <c r="E68" s="50">
        <f>D68+C68</f>
        <v>168</v>
      </c>
      <c r="F68" s="204"/>
      <c r="G68" s="228"/>
      <c r="H68" s="99">
        <v>143</v>
      </c>
      <c r="I68" s="46">
        <f>H68+C68</f>
        <v>169</v>
      </c>
      <c r="J68" s="204"/>
      <c r="K68" s="228"/>
      <c r="L68" s="99">
        <v>176</v>
      </c>
      <c r="M68" s="50">
        <f>L68+C68</f>
        <v>202</v>
      </c>
      <c r="N68" s="204"/>
      <c r="O68" s="228"/>
      <c r="P68" s="99">
        <v>140</v>
      </c>
      <c r="Q68" s="50">
        <f>P68+C68</f>
        <v>166</v>
      </c>
      <c r="R68" s="204"/>
      <c r="S68" s="228"/>
      <c r="T68" s="99">
        <v>132</v>
      </c>
      <c r="U68" s="50">
        <f>T68+C68</f>
        <v>158</v>
      </c>
      <c r="V68" s="204"/>
      <c r="W68" s="228"/>
      <c r="X68" s="47">
        <f t="shared" si="2"/>
        <v>863</v>
      </c>
      <c r="Y68" s="107">
        <f>D68+H68+L68+P68+T68</f>
        <v>733</v>
      </c>
      <c r="Z68" s="68">
        <f>AVERAGE(E68,I68,M68,Q68,U68)</f>
        <v>172.6</v>
      </c>
      <c r="AA68" s="144">
        <f>AVERAGE(E68,I68,M68,Q68,U68)-C68</f>
        <v>146.6</v>
      </c>
      <c r="AB68" s="221"/>
    </row>
    <row r="69" spans="1:28" s="38" customFormat="1" ht="41.25" customHeight="1">
      <c r="A69" s="217" t="s">
        <v>163</v>
      </c>
      <c r="B69" s="218"/>
      <c r="C69" s="149">
        <f>SUM(C70:C72)</f>
        <v>162</v>
      </c>
      <c r="D69" s="62">
        <f>SUM(D70:D72)</f>
        <v>417</v>
      </c>
      <c r="E69" s="45">
        <f>SUM(E70:E72)</f>
        <v>579</v>
      </c>
      <c r="F69" s="45">
        <f>E81</f>
        <v>566</v>
      </c>
      <c r="G69" s="42" t="str">
        <f>A81</f>
        <v>Penn&amp; Pärlin</v>
      </c>
      <c r="H69" s="62">
        <f>SUM(H70:H72)</f>
        <v>376</v>
      </c>
      <c r="I69" s="45">
        <f>SUM(I70:I72)</f>
        <v>538</v>
      </c>
      <c r="J69" s="45">
        <f>I77</f>
        <v>503</v>
      </c>
      <c r="K69" s="42" t="str">
        <f>A77</f>
        <v>LAJOS 1</v>
      </c>
      <c r="L69" s="133">
        <f>SUM(L70:L72)</f>
        <v>395</v>
      </c>
      <c r="M69" s="49">
        <f>SUM(M70:M72)</f>
        <v>557</v>
      </c>
      <c r="N69" s="45">
        <f>M73</f>
        <v>563</v>
      </c>
      <c r="O69" s="42" t="str">
        <f>A73</f>
        <v>PLANRAY</v>
      </c>
      <c r="P69" s="45">
        <f>SUM(P70:P72)</f>
        <v>457</v>
      </c>
      <c r="Q69" s="49">
        <f>SUM(Q70:Q72)</f>
        <v>619</v>
      </c>
      <c r="R69" s="45">
        <f>Q85</f>
        <v>579</v>
      </c>
      <c r="S69" s="42" t="str">
        <f>A85</f>
        <v>VÄRSKA VESI</v>
      </c>
      <c r="T69" s="133">
        <f>SUM(T70:T72)</f>
        <v>443</v>
      </c>
      <c r="U69" s="49">
        <f>SUM(U70:U72)</f>
        <v>605</v>
      </c>
      <c r="V69" s="45">
        <f>U65</f>
        <v>491</v>
      </c>
      <c r="W69" s="42" t="str">
        <f>A65</f>
        <v>Latestoil</v>
      </c>
      <c r="X69" s="36">
        <f t="shared" si="2"/>
        <v>2898</v>
      </c>
      <c r="Y69" s="105">
        <f>SUM(Y70:Y72)</f>
        <v>2088</v>
      </c>
      <c r="Z69" s="65">
        <f>AVERAGE(Z70,Z71,Z72)</f>
        <v>193.20000000000002</v>
      </c>
      <c r="AA69" s="142">
        <f>AVERAGE(AA70,AA71,AA72)</f>
        <v>139.20000000000002</v>
      </c>
      <c r="AB69" s="219">
        <f>F70+J70+N70+R70+V70</f>
        <v>4</v>
      </c>
    </row>
    <row r="70" spans="1:28" s="38" customFormat="1" ht="15.75" customHeight="1">
      <c r="A70" s="222" t="s">
        <v>342</v>
      </c>
      <c r="B70" s="223"/>
      <c r="C70" s="150">
        <v>60</v>
      </c>
      <c r="D70" s="59">
        <v>121</v>
      </c>
      <c r="E70" s="50">
        <f>D70+C70</f>
        <v>181</v>
      </c>
      <c r="F70" s="224">
        <v>1</v>
      </c>
      <c r="G70" s="225"/>
      <c r="H70" s="97">
        <v>126</v>
      </c>
      <c r="I70" s="46">
        <f>H70+C70</f>
        <v>186</v>
      </c>
      <c r="J70" s="224">
        <v>1</v>
      </c>
      <c r="K70" s="225"/>
      <c r="L70" s="97">
        <v>128</v>
      </c>
      <c r="M70" s="50">
        <f>L70+C70</f>
        <v>188</v>
      </c>
      <c r="N70" s="224">
        <v>0</v>
      </c>
      <c r="O70" s="225"/>
      <c r="P70" s="97">
        <v>151</v>
      </c>
      <c r="Q70" s="50">
        <f>P70+C70</f>
        <v>211</v>
      </c>
      <c r="R70" s="224">
        <v>1</v>
      </c>
      <c r="S70" s="225"/>
      <c r="T70" s="97">
        <v>148</v>
      </c>
      <c r="U70" s="50">
        <f>T70+C70</f>
        <v>208</v>
      </c>
      <c r="V70" s="224">
        <v>1</v>
      </c>
      <c r="W70" s="225"/>
      <c r="X70" s="46">
        <f t="shared" si="2"/>
        <v>974</v>
      </c>
      <c r="Y70" s="106">
        <f>D70+H70+L70+P70+T70</f>
        <v>674</v>
      </c>
      <c r="Z70" s="67">
        <f>AVERAGE(E70,I70,M70,Q70,U70)</f>
        <v>194.8</v>
      </c>
      <c r="AA70" s="143">
        <f>AVERAGE(E70,I70,M70,Q70,U70)-C70</f>
        <v>134.8</v>
      </c>
      <c r="AB70" s="220"/>
    </row>
    <row r="71" spans="1:28" s="38" customFormat="1" ht="15.75" customHeight="1">
      <c r="A71" s="222" t="s">
        <v>157</v>
      </c>
      <c r="B71" s="223"/>
      <c r="C71" s="150">
        <v>51</v>
      </c>
      <c r="D71" s="59">
        <v>144</v>
      </c>
      <c r="E71" s="50">
        <f>D71+C71</f>
        <v>195</v>
      </c>
      <c r="F71" s="226"/>
      <c r="G71" s="227"/>
      <c r="H71" s="98">
        <v>82</v>
      </c>
      <c r="I71" s="46">
        <f>H71+C71</f>
        <v>133</v>
      </c>
      <c r="J71" s="226"/>
      <c r="K71" s="227"/>
      <c r="L71" s="98">
        <v>145</v>
      </c>
      <c r="M71" s="50">
        <f>L71+C71</f>
        <v>196</v>
      </c>
      <c r="N71" s="226"/>
      <c r="O71" s="227"/>
      <c r="P71" s="98">
        <v>161</v>
      </c>
      <c r="Q71" s="50">
        <f>P71+C71</f>
        <v>212</v>
      </c>
      <c r="R71" s="226"/>
      <c r="S71" s="227"/>
      <c r="T71" s="98">
        <v>105</v>
      </c>
      <c r="U71" s="50">
        <f>T71+C71</f>
        <v>156</v>
      </c>
      <c r="V71" s="226"/>
      <c r="W71" s="227"/>
      <c r="X71" s="46">
        <f t="shared" si="2"/>
        <v>892</v>
      </c>
      <c r="Y71" s="106">
        <f>D71+H71+L71+P71+T71</f>
        <v>637</v>
      </c>
      <c r="Z71" s="67">
        <f>AVERAGE(E71,I71,M71,Q71,U71)</f>
        <v>178.4</v>
      </c>
      <c r="AA71" s="143">
        <f>AVERAGE(E71,I71,M71,Q71,U71)-C71</f>
        <v>127.4</v>
      </c>
      <c r="AB71" s="220"/>
    </row>
    <row r="72" spans="1:28" s="38" customFormat="1" ht="15.75" customHeight="1" thickBot="1">
      <c r="A72" s="229" t="s">
        <v>158</v>
      </c>
      <c r="B72" s="230"/>
      <c r="C72" s="151">
        <v>51</v>
      </c>
      <c r="D72" s="60">
        <v>152</v>
      </c>
      <c r="E72" s="50">
        <f>D72+C72</f>
        <v>203</v>
      </c>
      <c r="F72" s="204"/>
      <c r="G72" s="228"/>
      <c r="H72" s="99">
        <v>168</v>
      </c>
      <c r="I72" s="46">
        <f>H72+C72</f>
        <v>219</v>
      </c>
      <c r="J72" s="204"/>
      <c r="K72" s="228"/>
      <c r="L72" s="99">
        <v>122</v>
      </c>
      <c r="M72" s="50">
        <f>L72+C72</f>
        <v>173</v>
      </c>
      <c r="N72" s="204"/>
      <c r="O72" s="228"/>
      <c r="P72" s="99">
        <v>145</v>
      </c>
      <c r="Q72" s="50">
        <f>P72+C72</f>
        <v>196</v>
      </c>
      <c r="R72" s="204"/>
      <c r="S72" s="228"/>
      <c r="T72" s="99">
        <v>190</v>
      </c>
      <c r="U72" s="50">
        <f>T72+C72</f>
        <v>241</v>
      </c>
      <c r="V72" s="204"/>
      <c r="W72" s="228"/>
      <c r="X72" s="47">
        <f t="shared" si="2"/>
        <v>1032</v>
      </c>
      <c r="Y72" s="107">
        <f>D72+H72+L72+P72+T72</f>
        <v>777</v>
      </c>
      <c r="Z72" s="68">
        <f>AVERAGE(E72,I72,M72,Q72,U72)</f>
        <v>206.4</v>
      </c>
      <c r="AA72" s="144">
        <f>AVERAGE(E72,I72,M72,Q72,U72)-C72</f>
        <v>155.4</v>
      </c>
      <c r="AB72" s="221"/>
    </row>
    <row r="73" spans="1:28" s="38" customFormat="1" ht="47.25" customHeight="1">
      <c r="A73" s="217" t="s">
        <v>77</v>
      </c>
      <c r="B73" s="218"/>
      <c r="C73" s="149">
        <f>SUM(C74:C76)</f>
        <v>158</v>
      </c>
      <c r="D73" s="62">
        <f>SUM(D74:D76)</f>
        <v>388</v>
      </c>
      <c r="E73" s="45">
        <f>SUM(E74:E76)</f>
        <v>546</v>
      </c>
      <c r="F73" s="45">
        <f>E77</f>
        <v>549</v>
      </c>
      <c r="G73" s="42" t="str">
        <f>A77</f>
        <v>LAJOS 1</v>
      </c>
      <c r="H73" s="62">
        <f>SUM(H74:H76)</f>
        <v>394</v>
      </c>
      <c r="I73" s="45">
        <f>SUM(I74:I76)</f>
        <v>552</v>
      </c>
      <c r="J73" s="45">
        <f>I85</f>
        <v>530</v>
      </c>
      <c r="K73" s="42" t="str">
        <f>A85</f>
        <v>VÄRSKA VESI</v>
      </c>
      <c r="L73" s="133">
        <f>SUM(L74:L76)</f>
        <v>405</v>
      </c>
      <c r="M73" s="69">
        <f>SUM(M74:M76)</f>
        <v>563</v>
      </c>
      <c r="N73" s="45">
        <f>M69</f>
        <v>557</v>
      </c>
      <c r="O73" s="42" t="str">
        <f>A69</f>
        <v>AVR Projekt</v>
      </c>
      <c r="P73" s="45">
        <f>SUM(P74:P76)</f>
        <v>407</v>
      </c>
      <c r="Q73" s="49">
        <f>SUM(Q74:Q76)</f>
        <v>565</v>
      </c>
      <c r="R73" s="45">
        <f>Q65</f>
        <v>561</v>
      </c>
      <c r="S73" s="42" t="str">
        <f>A65</f>
        <v>Latestoil</v>
      </c>
      <c r="T73" s="133">
        <f>SUM(T74:T76)</f>
        <v>383</v>
      </c>
      <c r="U73" s="69">
        <f>SUM(U74:U76)</f>
        <v>541</v>
      </c>
      <c r="V73" s="45">
        <f>U81</f>
        <v>541</v>
      </c>
      <c r="W73" s="42" t="str">
        <f>A81</f>
        <v>Penn&amp; Pärlin</v>
      </c>
      <c r="X73" s="36">
        <f t="shared" si="2"/>
        <v>2767</v>
      </c>
      <c r="Y73" s="105">
        <f>SUM(Y74:Y76)</f>
        <v>1977</v>
      </c>
      <c r="Z73" s="65">
        <f>AVERAGE(Z74,Z75,Z76)</f>
        <v>184.46666666666667</v>
      </c>
      <c r="AA73" s="142">
        <f>AVERAGE(AA74,AA75,AA76)</f>
        <v>131.79999999999998</v>
      </c>
      <c r="AB73" s="219">
        <f>F74+J74+N74+R74+V74</f>
        <v>3.5</v>
      </c>
    </row>
    <row r="74" spans="1:28" s="38" customFormat="1" ht="15.75" customHeight="1">
      <c r="A74" s="222" t="s">
        <v>95</v>
      </c>
      <c r="B74" s="223"/>
      <c r="C74" s="150">
        <v>56</v>
      </c>
      <c r="D74" s="59">
        <v>116</v>
      </c>
      <c r="E74" s="50">
        <f>D74+C74</f>
        <v>172</v>
      </c>
      <c r="F74" s="224">
        <v>0</v>
      </c>
      <c r="G74" s="225"/>
      <c r="H74" s="97">
        <v>109</v>
      </c>
      <c r="I74" s="46">
        <f>H74+C74</f>
        <v>165</v>
      </c>
      <c r="J74" s="224">
        <v>1</v>
      </c>
      <c r="K74" s="225"/>
      <c r="L74" s="97">
        <v>112</v>
      </c>
      <c r="M74" s="50">
        <f>L74+C74</f>
        <v>168</v>
      </c>
      <c r="N74" s="224">
        <v>1</v>
      </c>
      <c r="O74" s="225"/>
      <c r="P74" s="97">
        <v>148</v>
      </c>
      <c r="Q74" s="50">
        <f>P74+C74</f>
        <v>204</v>
      </c>
      <c r="R74" s="224">
        <v>1</v>
      </c>
      <c r="S74" s="225"/>
      <c r="T74" s="97">
        <v>98</v>
      </c>
      <c r="U74" s="50">
        <f>T74+C74</f>
        <v>154</v>
      </c>
      <c r="V74" s="224">
        <v>0.5</v>
      </c>
      <c r="W74" s="225"/>
      <c r="X74" s="46">
        <f t="shared" si="2"/>
        <v>863</v>
      </c>
      <c r="Y74" s="106">
        <f>D74+H74+L74+P74+T74</f>
        <v>583</v>
      </c>
      <c r="Z74" s="67">
        <f>AVERAGE(E74,I74,M74,Q74,U74)</f>
        <v>172.6</v>
      </c>
      <c r="AA74" s="143">
        <f>AVERAGE(E74,I74,M74,Q74,U74)-C74</f>
        <v>116.6</v>
      </c>
      <c r="AB74" s="220"/>
    </row>
    <row r="75" spans="1:28" s="38" customFormat="1" ht="15.75" customHeight="1">
      <c r="A75" s="222" t="s">
        <v>96</v>
      </c>
      <c r="B75" s="223"/>
      <c r="C75" s="150">
        <v>47</v>
      </c>
      <c r="D75" s="59">
        <v>129</v>
      </c>
      <c r="E75" s="50">
        <f>D75+C75</f>
        <v>176</v>
      </c>
      <c r="F75" s="226"/>
      <c r="G75" s="227"/>
      <c r="H75" s="98">
        <v>154</v>
      </c>
      <c r="I75" s="46">
        <f>H75+C75</f>
        <v>201</v>
      </c>
      <c r="J75" s="226"/>
      <c r="K75" s="227"/>
      <c r="L75" s="98">
        <v>154</v>
      </c>
      <c r="M75" s="50">
        <f>L75+C75</f>
        <v>201</v>
      </c>
      <c r="N75" s="226"/>
      <c r="O75" s="227"/>
      <c r="P75" s="98">
        <v>141</v>
      </c>
      <c r="Q75" s="50">
        <f>P75+C75</f>
        <v>188</v>
      </c>
      <c r="R75" s="226"/>
      <c r="S75" s="227"/>
      <c r="T75" s="98">
        <v>133</v>
      </c>
      <c r="U75" s="50">
        <f>T75+C75</f>
        <v>180</v>
      </c>
      <c r="V75" s="226"/>
      <c r="W75" s="227"/>
      <c r="X75" s="46">
        <f t="shared" si="2"/>
        <v>946</v>
      </c>
      <c r="Y75" s="106">
        <f>D75+H75+L75+P75+T75</f>
        <v>711</v>
      </c>
      <c r="Z75" s="67">
        <f>AVERAGE(E75,I75,M75,Q75,U75)</f>
        <v>189.2</v>
      </c>
      <c r="AA75" s="143">
        <f>AVERAGE(E75,I75,M75,Q75,U75)-C75</f>
        <v>142.2</v>
      </c>
      <c r="AB75" s="220"/>
    </row>
    <row r="76" spans="1:28" s="38" customFormat="1" ht="15.75" customHeight="1" thickBot="1">
      <c r="A76" s="229" t="s">
        <v>97</v>
      </c>
      <c r="B76" s="230"/>
      <c r="C76" s="151">
        <v>55</v>
      </c>
      <c r="D76" s="60">
        <v>143</v>
      </c>
      <c r="E76" s="50">
        <f>D76+C76</f>
        <v>198</v>
      </c>
      <c r="F76" s="204"/>
      <c r="G76" s="228"/>
      <c r="H76" s="99">
        <v>131</v>
      </c>
      <c r="I76" s="46">
        <f>H76+C76</f>
        <v>186</v>
      </c>
      <c r="J76" s="204"/>
      <c r="K76" s="228"/>
      <c r="L76" s="99">
        <v>139</v>
      </c>
      <c r="M76" s="50">
        <f>L76+C76</f>
        <v>194</v>
      </c>
      <c r="N76" s="204"/>
      <c r="O76" s="228"/>
      <c r="P76" s="99">
        <v>118</v>
      </c>
      <c r="Q76" s="50">
        <f>P76+C76</f>
        <v>173</v>
      </c>
      <c r="R76" s="204"/>
      <c r="S76" s="228"/>
      <c r="T76" s="99">
        <v>152</v>
      </c>
      <c r="U76" s="50">
        <f>T76+C76</f>
        <v>207</v>
      </c>
      <c r="V76" s="204"/>
      <c r="W76" s="228"/>
      <c r="X76" s="47">
        <f t="shared" si="2"/>
        <v>958</v>
      </c>
      <c r="Y76" s="107">
        <f>D76+H76+L76+P76+T76</f>
        <v>683</v>
      </c>
      <c r="Z76" s="68">
        <f>AVERAGE(E76,I76,M76,Q76,U76)</f>
        <v>191.6</v>
      </c>
      <c r="AA76" s="144">
        <f>AVERAGE(E76,I76,M76,Q76,U76)-C76</f>
        <v>136.6</v>
      </c>
      <c r="AB76" s="221"/>
    </row>
    <row r="77" spans="1:28" s="38" customFormat="1" ht="39" customHeight="1">
      <c r="A77" s="217" t="s">
        <v>14</v>
      </c>
      <c r="B77" s="218"/>
      <c r="C77" s="149">
        <f>SUM(C78:C80)</f>
        <v>156</v>
      </c>
      <c r="D77" s="62">
        <f>SUM(D78:D80)</f>
        <v>393</v>
      </c>
      <c r="E77" s="45">
        <f>SUM(E78:E80)</f>
        <v>549</v>
      </c>
      <c r="F77" s="45">
        <f>E73</f>
        <v>546</v>
      </c>
      <c r="G77" s="42" t="str">
        <f>A73</f>
        <v>PLANRAY</v>
      </c>
      <c r="H77" s="62">
        <f>SUM(H78:H80)</f>
        <v>347</v>
      </c>
      <c r="I77" s="45">
        <f>SUM(I78:I80)</f>
        <v>503</v>
      </c>
      <c r="J77" s="45">
        <f>I69</f>
        <v>538</v>
      </c>
      <c r="K77" s="42" t="str">
        <f>A69</f>
        <v>AVR Projekt</v>
      </c>
      <c r="L77" s="133">
        <f>SUM(L78:L80)</f>
        <v>379</v>
      </c>
      <c r="M77" s="49">
        <f>SUM(M78:M80)</f>
        <v>535</v>
      </c>
      <c r="N77" s="45">
        <f>M65</f>
        <v>575</v>
      </c>
      <c r="O77" s="42" t="str">
        <f>A65</f>
        <v>Latestoil</v>
      </c>
      <c r="P77" s="45">
        <f>SUM(P78:P80)</f>
        <v>378</v>
      </c>
      <c r="Q77" s="49">
        <f>SUM(Q78:Q80)</f>
        <v>534</v>
      </c>
      <c r="R77" s="45">
        <f>Q81</f>
        <v>567</v>
      </c>
      <c r="S77" s="42" t="str">
        <f>A81</f>
        <v>Penn&amp; Pärlin</v>
      </c>
      <c r="T77" s="133">
        <f>SUM(T78:T80)</f>
        <v>410</v>
      </c>
      <c r="U77" s="49">
        <f>SUM(U78:U80)</f>
        <v>566</v>
      </c>
      <c r="V77" s="45">
        <f>U85</f>
        <v>557</v>
      </c>
      <c r="W77" s="42" t="str">
        <f>A85</f>
        <v>VÄRSKA VESI</v>
      </c>
      <c r="X77" s="36">
        <f t="shared" si="2"/>
        <v>2687</v>
      </c>
      <c r="Y77" s="105">
        <f>SUM(Y78:Y80)</f>
        <v>1907</v>
      </c>
      <c r="Z77" s="65">
        <f>AVERAGE(Z78,Z79,Z80)</f>
        <v>179.13333333333333</v>
      </c>
      <c r="AA77" s="142">
        <f>AVERAGE(AA78,AA79,AA80)</f>
        <v>127.13333333333333</v>
      </c>
      <c r="AB77" s="219">
        <f>F78+J78+N78+R78+V78</f>
        <v>2</v>
      </c>
    </row>
    <row r="78" spans="1:28" s="38" customFormat="1" ht="15.75" customHeight="1">
      <c r="A78" s="222" t="s">
        <v>55</v>
      </c>
      <c r="B78" s="223"/>
      <c r="C78" s="150">
        <v>51</v>
      </c>
      <c r="D78" s="59">
        <v>108</v>
      </c>
      <c r="E78" s="50">
        <f>D78+C78</f>
        <v>159</v>
      </c>
      <c r="F78" s="224">
        <v>1</v>
      </c>
      <c r="G78" s="225"/>
      <c r="H78" s="97">
        <v>133</v>
      </c>
      <c r="I78" s="46">
        <f>H78+C78</f>
        <v>184</v>
      </c>
      <c r="J78" s="224">
        <v>0</v>
      </c>
      <c r="K78" s="225"/>
      <c r="L78" s="97">
        <v>129</v>
      </c>
      <c r="M78" s="50">
        <f>L78+C78</f>
        <v>180</v>
      </c>
      <c r="N78" s="224">
        <v>0</v>
      </c>
      <c r="O78" s="225"/>
      <c r="P78" s="97">
        <v>126</v>
      </c>
      <c r="Q78" s="50">
        <f>P78+C78</f>
        <v>177</v>
      </c>
      <c r="R78" s="224">
        <v>0</v>
      </c>
      <c r="S78" s="225"/>
      <c r="T78" s="97">
        <v>157</v>
      </c>
      <c r="U78" s="50">
        <f>T78+C78</f>
        <v>208</v>
      </c>
      <c r="V78" s="224">
        <v>1</v>
      </c>
      <c r="W78" s="225"/>
      <c r="X78" s="46">
        <f t="shared" si="2"/>
        <v>908</v>
      </c>
      <c r="Y78" s="106">
        <f>D78+H78+L78+P78+T78</f>
        <v>653</v>
      </c>
      <c r="Z78" s="67">
        <f>AVERAGE(E78,I78,M78,Q78,U78)</f>
        <v>181.6</v>
      </c>
      <c r="AA78" s="143">
        <f>AVERAGE(E78,I78,M78,Q78,U78)-C78</f>
        <v>130.6</v>
      </c>
      <c r="AB78" s="220"/>
    </row>
    <row r="79" spans="1:28" s="38" customFormat="1" ht="15.75" customHeight="1">
      <c r="A79" s="222" t="s">
        <v>53</v>
      </c>
      <c r="B79" s="223"/>
      <c r="C79" s="150">
        <v>60</v>
      </c>
      <c r="D79" s="59">
        <v>120</v>
      </c>
      <c r="E79" s="50">
        <f>D79+C79</f>
        <v>180</v>
      </c>
      <c r="F79" s="226"/>
      <c r="G79" s="227"/>
      <c r="H79" s="98">
        <v>91</v>
      </c>
      <c r="I79" s="46">
        <f>H79+C79</f>
        <v>151</v>
      </c>
      <c r="J79" s="226"/>
      <c r="K79" s="227"/>
      <c r="L79" s="98">
        <v>133</v>
      </c>
      <c r="M79" s="50">
        <f>L79+C79</f>
        <v>193</v>
      </c>
      <c r="N79" s="226"/>
      <c r="O79" s="227"/>
      <c r="P79" s="98">
        <v>115</v>
      </c>
      <c r="Q79" s="50">
        <f>P79+C79</f>
        <v>175</v>
      </c>
      <c r="R79" s="226"/>
      <c r="S79" s="227"/>
      <c r="T79" s="98">
        <v>135</v>
      </c>
      <c r="U79" s="50">
        <f>T79+C79</f>
        <v>195</v>
      </c>
      <c r="V79" s="226"/>
      <c r="W79" s="227"/>
      <c r="X79" s="46">
        <f t="shared" si="2"/>
        <v>894</v>
      </c>
      <c r="Y79" s="106">
        <f>D79+H79+L79+P79+T79</f>
        <v>594</v>
      </c>
      <c r="Z79" s="67">
        <f>AVERAGE(E79,I79,M79,Q79,U79)</f>
        <v>178.8</v>
      </c>
      <c r="AA79" s="143">
        <f>AVERAGE(E79,I79,M79,Q79,U79)-C79</f>
        <v>118.80000000000001</v>
      </c>
      <c r="AB79" s="220"/>
    </row>
    <row r="80" spans="1:29" s="38" customFormat="1" ht="15.75" customHeight="1" thickBot="1">
      <c r="A80" s="229" t="s">
        <v>54</v>
      </c>
      <c r="B80" s="230"/>
      <c r="C80" s="151">
        <v>45</v>
      </c>
      <c r="D80" s="60">
        <v>165</v>
      </c>
      <c r="E80" s="50">
        <f>D80+C80</f>
        <v>210</v>
      </c>
      <c r="F80" s="204"/>
      <c r="G80" s="228"/>
      <c r="H80" s="99">
        <v>123</v>
      </c>
      <c r="I80" s="46">
        <f>H80+C80</f>
        <v>168</v>
      </c>
      <c r="J80" s="204"/>
      <c r="K80" s="228"/>
      <c r="L80" s="99">
        <v>117</v>
      </c>
      <c r="M80" s="50">
        <f>L80+C80</f>
        <v>162</v>
      </c>
      <c r="N80" s="204"/>
      <c r="O80" s="228"/>
      <c r="P80" s="99">
        <v>137</v>
      </c>
      <c r="Q80" s="50">
        <f>P80+C80</f>
        <v>182</v>
      </c>
      <c r="R80" s="204"/>
      <c r="S80" s="228"/>
      <c r="T80" s="99">
        <v>118</v>
      </c>
      <c r="U80" s="50">
        <f>T80+C80</f>
        <v>163</v>
      </c>
      <c r="V80" s="204"/>
      <c r="W80" s="228"/>
      <c r="X80" s="47">
        <f t="shared" si="2"/>
        <v>885</v>
      </c>
      <c r="Y80" s="107">
        <f>D80+H80+L80+P80+T80</f>
        <v>660</v>
      </c>
      <c r="Z80" s="68">
        <f>AVERAGE(E80,I80,M80,Q80,U80)</f>
        <v>177</v>
      </c>
      <c r="AA80" s="144">
        <f>AVERAGE(E80,I80,M80,Q80,U80)-C80</f>
        <v>132</v>
      </c>
      <c r="AB80" s="221"/>
      <c r="AC80" s="44"/>
    </row>
    <row r="81" spans="1:28" s="38" customFormat="1" ht="53.25" customHeight="1">
      <c r="A81" s="217" t="s">
        <v>324</v>
      </c>
      <c r="B81" s="218"/>
      <c r="C81" s="149">
        <f>SUM(C82:C84)</f>
        <v>83</v>
      </c>
      <c r="D81" s="62">
        <f>SUM(D82:D84)</f>
        <v>483</v>
      </c>
      <c r="E81" s="45">
        <f>SUM(E82:E84)</f>
        <v>566</v>
      </c>
      <c r="F81" s="45">
        <f>E69</f>
        <v>579</v>
      </c>
      <c r="G81" s="42" t="str">
        <f>A69</f>
        <v>AVR Projekt</v>
      </c>
      <c r="H81" s="62">
        <f>SUM(H82:H84)</f>
        <v>443</v>
      </c>
      <c r="I81" s="45">
        <f>SUM(I82:I84)</f>
        <v>526</v>
      </c>
      <c r="J81" s="45">
        <f>I65</f>
        <v>564</v>
      </c>
      <c r="K81" s="42" t="str">
        <f>A65</f>
        <v>Latestoil</v>
      </c>
      <c r="L81" s="133">
        <f>SUM(L82:L84)</f>
        <v>450</v>
      </c>
      <c r="M81" s="69">
        <f>SUM(M82:M84)</f>
        <v>533</v>
      </c>
      <c r="N81" s="45">
        <f>M85</f>
        <v>567</v>
      </c>
      <c r="O81" s="42" t="str">
        <f>A85</f>
        <v>VÄRSKA VESI</v>
      </c>
      <c r="P81" s="45">
        <f>SUM(P82:P84)</f>
        <v>484</v>
      </c>
      <c r="Q81" s="69">
        <f>SUM(Q82:Q84)</f>
        <v>567</v>
      </c>
      <c r="R81" s="45">
        <f>Q77</f>
        <v>534</v>
      </c>
      <c r="S81" s="42" t="str">
        <f>A77</f>
        <v>LAJOS 1</v>
      </c>
      <c r="T81" s="133">
        <f>SUM(T82:T84)</f>
        <v>458</v>
      </c>
      <c r="U81" s="69">
        <f>SUM(U82:U84)</f>
        <v>541</v>
      </c>
      <c r="V81" s="45">
        <f>U73</f>
        <v>541</v>
      </c>
      <c r="W81" s="42" t="str">
        <f>A73</f>
        <v>PLANRAY</v>
      </c>
      <c r="X81" s="36">
        <f t="shared" si="2"/>
        <v>2733</v>
      </c>
      <c r="Y81" s="105">
        <f>SUM(Y82:Y84)</f>
        <v>2318</v>
      </c>
      <c r="Z81" s="65">
        <f>AVERAGE(Z82,Z83,Z84)</f>
        <v>182.20000000000002</v>
      </c>
      <c r="AA81" s="142">
        <f>AVERAGE(AA82,AA83,AA84)</f>
        <v>154.53333333333333</v>
      </c>
      <c r="AB81" s="219">
        <f>F82+J82+N82+R82+V82</f>
        <v>1.5</v>
      </c>
    </row>
    <row r="82" spans="1:28" s="38" customFormat="1" ht="15.75" customHeight="1">
      <c r="A82" s="222" t="s">
        <v>334</v>
      </c>
      <c r="B82" s="223"/>
      <c r="C82" s="150">
        <v>26</v>
      </c>
      <c r="D82" s="59">
        <v>175</v>
      </c>
      <c r="E82" s="50">
        <f>D82+C82</f>
        <v>201</v>
      </c>
      <c r="F82" s="224">
        <v>0</v>
      </c>
      <c r="G82" s="225"/>
      <c r="H82" s="97">
        <v>134</v>
      </c>
      <c r="I82" s="46">
        <f>H82+C82</f>
        <v>160</v>
      </c>
      <c r="J82" s="224">
        <v>0</v>
      </c>
      <c r="K82" s="225"/>
      <c r="L82" s="97">
        <v>122</v>
      </c>
      <c r="M82" s="50">
        <f>L82+C82</f>
        <v>148</v>
      </c>
      <c r="N82" s="224">
        <v>0</v>
      </c>
      <c r="O82" s="225"/>
      <c r="P82" s="97">
        <v>139</v>
      </c>
      <c r="Q82" s="50">
        <f>P82+C82</f>
        <v>165</v>
      </c>
      <c r="R82" s="224">
        <v>1</v>
      </c>
      <c r="S82" s="225"/>
      <c r="T82" s="97">
        <v>169</v>
      </c>
      <c r="U82" s="50">
        <f>T82+C82</f>
        <v>195</v>
      </c>
      <c r="V82" s="224">
        <v>0.5</v>
      </c>
      <c r="W82" s="225"/>
      <c r="X82" s="46">
        <f t="shared" si="2"/>
        <v>869</v>
      </c>
      <c r="Y82" s="106">
        <f>D82+H82+L82+P82+T82</f>
        <v>739</v>
      </c>
      <c r="Z82" s="67">
        <f>AVERAGE(E82,I82,M82,Q82,U82)</f>
        <v>173.8</v>
      </c>
      <c r="AA82" s="143">
        <f>AVERAGE(E82,I82,M82,Q82,U82)-C82</f>
        <v>147.8</v>
      </c>
      <c r="AB82" s="220"/>
    </row>
    <row r="83" spans="1:28" s="38" customFormat="1" ht="15.75" customHeight="1">
      <c r="A83" s="222" t="s">
        <v>212</v>
      </c>
      <c r="B83" s="223"/>
      <c r="C83" s="150">
        <v>20</v>
      </c>
      <c r="D83" s="59">
        <v>175</v>
      </c>
      <c r="E83" s="50">
        <f>D83+C83</f>
        <v>195</v>
      </c>
      <c r="F83" s="226"/>
      <c r="G83" s="227"/>
      <c r="H83" s="98">
        <v>152</v>
      </c>
      <c r="I83" s="46">
        <f>H83+C83</f>
        <v>172</v>
      </c>
      <c r="J83" s="226"/>
      <c r="K83" s="227"/>
      <c r="L83" s="98">
        <v>184</v>
      </c>
      <c r="M83" s="50">
        <f>L83+C83</f>
        <v>204</v>
      </c>
      <c r="N83" s="226"/>
      <c r="O83" s="227"/>
      <c r="P83" s="98">
        <v>170</v>
      </c>
      <c r="Q83" s="50">
        <f>P83+C83</f>
        <v>190</v>
      </c>
      <c r="R83" s="226"/>
      <c r="S83" s="227"/>
      <c r="T83" s="98">
        <v>154</v>
      </c>
      <c r="U83" s="50">
        <f>T83+C83</f>
        <v>174</v>
      </c>
      <c r="V83" s="226"/>
      <c r="W83" s="227"/>
      <c r="X83" s="46">
        <f t="shared" si="2"/>
        <v>935</v>
      </c>
      <c r="Y83" s="106">
        <f>D83+H83+L83+P83+T83</f>
        <v>835</v>
      </c>
      <c r="Z83" s="67">
        <f>AVERAGE(E83,I83,M83,Q83,U83)</f>
        <v>187</v>
      </c>
      <c r="AA83" s="143">
        <f>AVERAGE(E83,I83,M83,Q83,U83)-C83</f>
        <v>167</v>
      </c>
      <c r="AB83" s="220"/>
    </row>
    <row r="84" spans="1:28" s="38" customFormat="1" ht="15.75" customHeight="1" thickBot="1">
      <c r="A84" s="229" t="s">
        <v>278</v>
      </c>
      <c r="B84" s="230"/>
      <c r="C84" s="151">
        <v>37</v>
      </c>
      <c r="D84" s="60">
        <v>133</v>
      </c>
      <c r="E84" s="50">
        <f>D84+C84</f>
        <v>170</v>
      </c>
      <c r="F84" s="204"/>
      <c r="G84" s="228"/>
      <c r="H84" s="99">
        <v>157</v>
      </c>
      <c r="I84" s="46">
        <f>H84+C84</f>
        <v>194</v>
      </c>
      <c r="J84" s="204"/>
      <c r="K84" s="228"/>
      <c r="L84" s="99">
        <v>144</v>
      </c>
      <c r="M84" s="50">
        <f>L84+C84</f>
        <v>181</v>
      </c>
      <c r="N84" s="204"/>
      <c r="O84" s="228"/>
      <c r="P84" s="99">
        <v>175</v>
      </c>
      <c r="Q84" s="50">
        <f>P84+C84</f>
        <v>212</v>
      </c>
      <c r="R84" s="204"/>
      <c r="S84" s="228"/>
      <c r="T84" s="99">
        <v>135</v>
      </c>
      <c r="U84" s="50">
        <f>T84+C84</f>
        <v>172</v>
      </c>
      <c r="V84" s="204"/>
      <c r="W84" s="228"/>
      <c r="X84" s="47">
        <f t="shared" si="2"/>
        <v>929</v>
      </c>
      <c r="Y84" s="107">
        <f>D84+H84+L84+P84+T84</f>
        <v>744</v>
      </c>
      <c r="Z84" s="68">
        <f>AVERAGE(E84,I84,M84,Q84,U84)</f>
        <v>185.8</v>
      </c>
      <c r="AA84" s="144">
        <f>AVERAGE(E84,I84,M84,Q84,U84)-C84</f>
        <v>148.8</v>
      </c>
      <c r="AB84" s="221"/>
    </row>
    <row r="85" spans="1:28" s="38" customFormat="1" ht="42" customHeight="1">
      <c r="A85" s="217" t="s">
        <v>192</v>
      </c>
      <c r="B85" s="218"/>
      <c r="C85" s="149">
        <f>SUM(C86:C88)</f>
        <v>83</v>
      </c>
      <c r="D85" s="62">
        <f>SUM(D86:D88)</f>
        <v>494</v>
      </c>
      <c r="E85" s="45">
        <f>SUM(E86:E88)</f>
        <v>577</v>
      </c>
      <c r="F85" s="45">
        <f>E65</f>
        <v>544</v>
      </c>
      <c r="G85" s="42" t="str">
        <f>A65</f>
        <v>Latestoil</v>
      </c>
      <c r="H85" s="62">
        <f>SUM(H86:H88)</f>
        <v>447</v>
      </c>
      <c r="I85" s="45">
        <f>SUM(I86:I88)</f>
        <v>530</v>
      </c>
      <c r="J85" s="45">
        <f>I73</f>
        <v>552</v>
      </c>
      <c r="K85" s="42" t="str">
        <f>A73</f>
        <v>PLANRAY</v>
      </c>
      <c r="L85" s="133">
        <f>SUM(L86:L88)</f>
        <v>484</v>
      </c>
      <c r="M85" s="49">
        <f>SUM(M86:M88)</f>
        <v>567</v>
      </c>
      <c r="N85" s="45">
        <f>M81</f>
        <v>533</v>
      </c>
      <c r="O85" s="42" t="str">
        <f>A81</f>
        <v>Penn&amp; Pärlin</v>
      </c>
      <c r="P85" s="45">
        <f>SUM(P86:P88)</f>
        <v>496</v>
      </c>
      <c r="Q85" s="49">
        <f>SUM(Q86:Q88)</f>
        <v>579</v>
      </c>
      <c r="R85" s="45">
        <f>Q69</f>
        <v>619</v>
      </c>
      <c r="S85" s="42" t="str">
        <f>A69</f>
        <v>AVR Projekt</v>
      </c>
      <c r="T85" s="133">
        <f>SUM(T86:T88)</f>
        <v>474</v>
      </c>
      <c r="U85" s="49">
        <f>SUM(U86:U88)</f>
        <v>557</v>
      </c>
      <c r="V85" s="45">
        <f>U77</f>
        <v>566</v>
      </c>
      <c r="W85" s="42" t="str">
        <f>A77</f>
        <v>LAJOS 1</v>
      </c>
      <c r="X85" s="36">
        <f t="shared" si="2"/>
        <v>2810</v>
      </c>
      <c r="Y85" s="105">
        <f>SUM(Y86:Y88)</f>
        <v>2395</v>
      </c>
      <c r="Z85" s="65">
        <f>AVERAGE(Z86,Z87,Z88)</f>
        <v>187.33333333333334</v>
      </c>
      <c r="AA85" s="142">
        <f>AVERAGE(AA86,AA87,AA88)</f>
        <v>159.66666666666666</v>
      </c>
      <c r="AB85" s="219">
        <f>F86+J86+N86+R86+V86</f>
        <v>2</v>
      </c>
    </row>
    <row r="86" spans="1:28" s="38" customFormat="1" ht="15.75" customHeight="1">
      <c r="A86" s="222" t="s">
        <v>177</v>
      </c>
      <c r="B86" s="223"/>
      <c r="C86" s="150">
        <v>32</v>
      </c>
      <c r="D86" s="59">
        <v>134</v>
      </c>
      <c r="E86" s="50">
        <f>D86+C86</f>
        <v>166</v>
      </c>
      <c r="F86" s="224">
        <v>1</v>
      </c>
      <c r="G86" s="225"/>
      <c r="H86" s="97">
        <v>126</v>
      </c>
      <c r="I86" s="46">
        <f>H86+C86</f>
        <v>158</v>
      </c>
      <c r="J86" s="224">
        <v>0</v>
      </c>
      <c r="K86" s="225"/>
      <c r="L86" s="97">
        <v>136</v>
      </c>
      <c r="M86" s="50">
        <f>L86+C86</f>
        <v>168</v>
      </c>
      <c r="N86" s="224">
        <v>1</v>
      </c>
      <c r="O86" s="225"/>
      <c r="P86" s="97">
        <v>156</v>
      </c>
      <c r="Q86" s="50">
        <f>P86+C86</f>
        <v>188</v>
      </c>
      <c r="R86" s="224">
        <v>0</v>
      </c>
      <c r="S86" s="225"/>
      <c r="T86" s="97">
        <v>141</v>
      </c>
      <c r="U86" s="50">
        <f>T86+C86</f>
        <v>173</v>
      </c>
      <c r="V86" s="224">
        <v>0</v>
      </c>
      <c r="W86" s="225"/>
      <c r="X86" s="46">
        <f t="shared" si="2"/>
        <v>853</v>
      </c>
      <c r="Y86" s="106">
        <f>D86+H86+L86+P86+T86</f>
        <v>693</v>
      </c>
      <c r="Z86" s="67">
        <f>AVERAGE(E86,I86,M86,Q86,U86)</f>
        <v>170.6</v>
      </c>
      <c r="AA86" s="143">
        <f>AVERAGE(E86,I86,M86,Q86,U86)-C86</f>
        <v>138.6</v>
      </c>
      <c r="AB86" s="220"/>
    </row>
    <row r="87" spans="1:28" s="38" customFormat="1" ht="15.75" customHeight="1">
      <c r="A87" s="222" t="s">
        <v>176</v>
      </c>
      <c r="B87" s="223"/>
      <c r="C87" s="150">
        <v>24</v>
      </c>
      <c r="D87" s="59">
        <v>177</v>
      </c>
      <c r="E87" s="50">
        <f>D87+C87</f>
        <v>201</v>
      </c>
      <c r="F87" s="226"/>
      <c r="G87" s="227"/>
      <c r="H87" s="98">
        <v>168</v>
      </c>
      <c r="I87" s="46">
        <f>H87+C87</f>
        <v>192</v>
      </c>
      <c r="J87" s="226"/>
      <c r="K87" s="227"/>
      <c r="L87" s="98">
        <v>222</v>
      </c>
      <c r="M87" s="50">
        <f>L87+C87</f>
        <v>246</v>
      </c>
      <c r="N87" s="226"/>
      <c r="O87" s="227"/>
      <c r="P87" s="98">
        <v>159</v>
      </c>
      <c r="Q87" s="50">
        <f>P87+C87</f>
        <v>183</v>
      </c>
      <c r="R87" s="226"/>
      <c r="S87" s="227"/>
      <c r="T87" s="98">
        <v>170</v>
      </c>
      <c r="U87" s="50">
        <f>T87+C87</f>
        <v>194</v>
      </c>
      <c r="V87" s="226"/>
      <c r="W87" s="227"/>
      <c r="X87" s="46">
        <f t="shared" si="2"/>
        <v>1016</v>
      </c>
      <c r="Y87" s="106">
        <f>D87+H87+L87+P87+T87</f>
        <v>896</v>
      </c>
      <c r="Z87" s="67">
        <f>AVERAGE(E87,I87,M87,Q87,U87)</f>
        <v>203.2</v>
      </c>
      <c r="AA87" s="143">
        <f>AVERAGE(E87,I87,M87,Q87,U87)-C87</f>
        <v>179.2</v>
      </c>
      <c r="AB87" s="220"/>
    </row>
    <row r="88" spans="1:28" s="38" customFormat="1" ht="15.75" customHeight="1" thickBot="1">
      <c r="A88" s="229" t="s">
        <v>178</v>
      </c>
      <c r="B88" s="230"/>
      <c r="C88" s="151">
        <v>27</v>
      </c>
      <c r="D88" s="60">
        <v>183</v>
      </c>
      <c r="E88" s="50">
        <f>D88+C88</f>
        <v>210</v>
      </c>
      <c r="F88" s="204"/>
      <c r="G88" s="228"/>
      <c r="H88" s="99">
        <v>153</v>
      </c>
      <c r="I88" s="46">
        <f>H88+C88</f>
        <v>180</v>
      </c>
      <c r="J88" s="204"/>
      <c r="K88" s="228"/>
      <c r="L88" s="99">
        <v>126</v>
      </c>
      <c r="M88" s="50">
        <f>L88+C88</f>
        <v>153</v>
      </c>
      <c r="N88" s="204"/>
      <c r="O88" s="228"/>
      <c r="P88" s="99">
        <v>181</v>
      </c>
      <c r="Q88" s="50">
        <f>P88+C88</f>
        <v>208</v>
      </c>
      <c r="R88" s="204"/>
      <c r="S88" s="228"/>
      <c r="T88" s="99">
        <v>163</v>
      </c>
      <c r="U88" s="50">
        <f>T88+C88</f>
        <v>190</v>
      </c>
      <c r="V88" s="204"/>
      <c r="W88" s="228"/>
      <c r="X88" s="47">
        <f t="shared" si="2"/>
        <v>941</v>
      </c>
      <c r="Y88" s="107">
        <f>D88+H88+L88+P88+T88</f>
        <v>806</v>
      </c>
      <c r="Z88" s="68">
        <f>AVERAGE(E88,I88,M88,Q88,U88)</f>
        <v>188.2</v>
      </c>
      <c r="AA88" s="144">
        <f>AVERAGE(E88,I88,M88,Q88,U88)-C88</f>
        <v>161.2</v>
      </c>
      <c r="AB88" s="221"/>
    </row>
    <row r="89" spans="1:28" s="40" customFormat="1" ht="9" customHeight="1">
      <c r="A89" s="207" t="s">
        <v>363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4"/>
      <c r="W89" s="25"/>
      <c r="Y89" s="57"/>
      <c r="Z89" s="41"/>
      <c r="AA89" s="139"/>
      <c r="AB89" s="25"/>
    </row>
    <row r="90" spans="1:28" s="40" customFormat="1" ht="6" customHeight="1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4"/>
      <c r="W90" s="25"/>
      <c r="Y90" s="57"/>
      <c r="Z90" s="41"/>
      <c r="AA90" s="139"/>
      <c r="AB90" s="25"/>
    </row>
    <row r="91" spans="1:28" s="40" customFormat="1" ht="23.2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5"/>
      <c r="W91" s="25"/>
      <c r="Y91" s="57"/>
      <c r="Z91" s="41"/>
      <c r="AA91" s="139"/>
      <c r="AB91" s="25"/>
    </row>
    <row r="92" spans="1:28" s="31" customFormat="1" ht="15.75" customHeight="1">
      <c r="A92" s="209" t="s">
        <v>0</v>
      </c>
      <c r="B92" s="210"/>
      <c r="C92" s="147" t="s">
        <v>39</v>
      </c>
      <c r="D92" s="55"/>
      <c r="E92" s="27" t="s">
        <v>1</v>
      </c>
      <c r="F92" s="211" t="s">
        <v>2</v>
      </c>
      <c r="G92" s="212"/>
      <c r="H92" s="94"/>
      <c r="I92" s="27" t="s">
        <v>3</v>
      </c>
      <c r="J92" s="211" t="s">
        <v>2</v>
      </c>
      <c r="K92" s="212"/>
      <c r="L92" s="94"/>
      <c r="M92" s="27" t="s">
        <v>4</v>
      </c>
      <c r="N92" s="211" t="s">
        <v>2</v>
      </c>
      <c r="O92" s="212"/>
      <c r="P92" s="94"/>
      <c r="Q92" s="27" t="s">
        <v>5</v>
      </c>
      <c r="R92" s="211" t="s">
        <v>2</v>
      </c>
      <c r="S92" s="212"/>
      <c r="T92" s="94"/>
      <c r="U92" s="27" t="s">
        <v>6</v>
      </c>
      <c r="V92" s="211" t="s">
        <v>2</v>
      </c>
      <c r="W92" s="212"/>
      <c r="X92" s="28" t="s">
        <v>7</v>
      </c>
      <c r="Y92" s="104"/>
      <c r="Z92" s="29" t="s">
        <v>40</v>
      </c>
      <c r="AA92" s="140" t="s">
        <v>42</v>
      </c>
      <c r="AB92" s="30" t="s">
        <v>7</v>
      </c>
    </row>
    <row r="93" spans="1:28" s="31" customFormat="1" ht="15.75" customHeight="1" thickBot="1">
      <c r="A93" s="213" t="s">
        <v>9</v>
      </c>
      <c r="B93" s="214"/>
      <c r="C93" s="148"/>
      <c r="D93" s="56"/>
      <c r="E93" s="32" t="s">
        <v>10</v>
      </c>
      <c r="F93" s="211" t="s">
        <v>11</v>
      </c>
      <c r="G93" s="212"/>
      <c r="H93" s="95"/>
      <c r="I93" s="32" t="s">
        <v>10</v>
      </c>
      <c r="J93" s="215" t="s">
        <v>11</v>
      </c>
      <c r="K93" s="216"/>
      <c r="L93" s="95"/>
      <c r="M93" s="32" t="s">
        <v>10</v>
      </c>
      <c r="N93" s="215" t="s">
        <v>11</v>
      </c>
      <c r="O93" s="216"/>
      <c r="P93" s="95"/>
      <c r="Q93" s="32" t="s">
        <v>10</v>
      </c>
      <c r="R93" s="215" t="s">
        <v>11</v>
      </c>
      <c r="S93" s="216"/>
      <c r="T93" s="95"/>
      <c r="U93" s="32" t="s">
        <v>10</v>
      </c>
      <c r="V93" s="215" t="s">
        <v>11</v>
      </c>
      <c r="W93" s="216"/>
      <c r="X93" s="33" t="s">
        <v>10</v>
      </c>
      <c r="Y93" s="134" t="s">
        <v>287</v>
      </c>
      <c r="Z93" s="34" t="s">
        <v>41</v>
      </c>
      <c r="AA93" s="141" t="s">
        <v>43</v>
      </c>
      <c r="AB93" s="35" t="s">
        <v>12</v>
      </c>
    </row>
    <row r="94" spans="1:28" s="38" customFormat="1" ht="42" customHeight="1">
      <c r="A94" s="217" t="s">
        <v>172</v>
      </c>
      <c r="B94" s="218"/>
      <c r="C94" s="149">
        <f>SUM(C95:C97)</f>
        <v>82</v>
      </c>
      <c r="D94" s="62">
        <f>SUM(D95:D97)</f>
        <v>527</v>
      </c>
      <c r="E94" s="63">
        <f>SUM(E95:E97)</f>
        <v>609</v>
      </c>
      <c r="F94" s="46">
        <f>E114</f>
        <v>547</v>
      </c>
      <c r="G94" s="64" t="str">
        <f>A114</f>
        <v>T.E.M.</v>
      </c>
      <c r="H94" s="62">
        <f>SUM(H95:H97)</f>
        <v>387</v>
      </c>
      <c r="I94" s="49">
        <f>SUM(I95:I97)</f>
        <v>469</v>
      </c>
      <c r="J94" s="49">
        <f>I110</f>
        <v>553</v>
      </c>
      <c r="K94" s="42" t="str">
        <f>A110</f>
        <v>Linnaking</v>
      </c>
      <c r="L94" s="58">
        <f>SUM(L95:L97)</f>
        <v>458</v>
      </c>
      <c r="M94" s="45">
        <f>SUM(M95:M97)</f>
        <v>540</v>
      </c>
      <c r="N94" s="45">
        <f>M106</f>
        <v>548</v>
      </c>
      <c r="O94" s="42" t="str">
        <f>A106</f>
        <v>KLG Viru</v>
      </c>
      <c r="P94" s="45">
        <f>SUM(P95:P97)</f>
        <v>436</v>
      </c>
      <c r="Q94" s="45">
        <f>SUM(Q95:Q97)</f>
        <v>518</v>
      </c>
      <c r="R94" s="45">
        <f>Q102</f>
        <v>516</v>
      </c>
      <c r="S94" s="42" t="str">
        <f>A102</f>
        <v>Uus Maa</v>
      </c>
      <c r="T94" s="133">
        <f>SUM(T95:T97)</f>
        <v>410</v>
      </c>
      <c r="U94" s="45">
        <f>SUM(U95:U97)</f>
        <v>492</v>
      </c>
      <c r="V94" s="45">
        <f>U98</f>
        <v>554</v>
      </c>
      <c r="W94" s="42" t="str">
        <f>A98</f>
        <v>Rakvere Soojus</v>
      </c>
      <c r="X94" s="36">
        <f aca="true" t="shared" si="3" ref="X94:X117">E94+I94+M94+Q94+U94</f>
        <v>2628</v>
      </c>
      <c r="Y94" s="105">
        <f>SUM(Y95:Y97)</f>
        <v>2218</v>
      </c>
      <c r="Z94" s="37">
        <f>AVERAGE(Z95,Z96,Z97)</f>
        <v>175.20000000000002</v>
      </c>
      <c r="AA94" s="142">
        <f>AVERAGE(AA95,AA96,AA97)</f>
        <v>147.86666666666667</v>
      </c>
      <c r="AB94" s="219">
        <f>F95+J95+N95+R95+V95</f>
        <v>2</v>
      </c>
    </row>
    <row r="95" spans="1:28" s="38" customFormat="1" ht="15.75" customHeight="1">
      <c r="A95" s="222" t="s">
        <v>185</v>
      </c>
      <c r="B95" s="223"/>
      <c r="C95" s="150">
        <v>18</v>
      </c>
      <c r="D95" s="59">
        <v>200</v>
      </c>
      <c r="E95" s="50">
        <f>D95+C95</f>
        <v>218</v>
      </c>
      <c r="F95" s="224">
        <v>1</v>
      </c>
      <c r="G95" s="225"/>
      <c r="H95" s="97">
        <v>143</v>
      </c>
      <c r="I95" s="46">
        <f>H95+C95</f>
        <v>161</v>
      </c>
      <c r="J95" s="224">
        <v>0</v>
      </c>
      <c r="K95" s="225"/>
      <c r="L95" s="97">
        <v>136</v>
      </c>
      <c r="M95" s="50">
        <f>L95+C95</f>
        <v>154</v>
      </c>
      <c r="N95" s="224">
        <v>0</v>
      </c>
      <c r="O95" s="225"/>
      <c r="P95" s="97">
        <v>165</v>
      </c>
      <c r="Q95" s="50">
        <f>P95+C95</f>
        <v>183</v>
      </c>
      <c r="R95" s="224">
        <v>1</v>
      </c>
      <c r="S95" s="225"/>
      <c r="T95" s="97">
        <v>160</v>
      </c>
      <c r="U95" s="50">
        <f>T95+C95</f>
        <v>178</v>
      </c>
      <c r="V95" s="224">
        <v>0</v>
      </c>
      <c r="W95" s="225"/>
      <c r="X95" s="46">
        <f t="shared" si="3"/>
        <v>894</v>
      </c>
      <c r="Y95" s="106">
        <f>D95+H95+L95+P95+T95</f>
        <v>804</v>
      </c>
      <c r="Z95" s="67">
        <f>AVERAGE(E95,I95,M95,Q95,U95)</f>
        <v>178.8</v>
      </c>
      <c r="AA95" s="143">
        <f>AVERAGE(E95,I95,M95,Q95,U95)-C95</f>
        <v>160.8</v>
      </c>
      <c r="AB95" s="220"/>
    </row>
    <row r="96" spans="1:28" s="38" customFormat="1" ht="15.75" customHeight="1">
      <c r="A96" s="222" t="s">
        <v>187</v>
      </c>
      <c r="B96" s="223"/>
      <c r="C96" s="150">
        <v>33</v>
      </c>
      <c r="D96" s="59">
        <v>180</v>
      </c>
      <c r="E96" s="50">
        <f>D96+C96</f>
        <v>213</v>
      </c>
      <c r="F96" s="226"/>
      <c r="G96" s="227"/>
      <c r="H96" s="98">
        <v>108</v>
      </c>
      <c r="I96" s="46">
        <f>H96+C96</f>
        <v>141</v>
      </c>
      <c r="J96" s="226"/>
      <c r="K96" s="227"/>
      <c r="L96" s="98">
        <v>151</v>
      </c>
      <c r="M96" s="50">
        <f>L96+C96</f>
        <v>184</v>
      </c>
      <c r="N96" s="226"/>
      <c r="O96" s="227"/>
      <c r="P96" s="98">
        <v>128</v>
      </c>
      <c r="Q96" s="50">
        <f>P96+C96</f>
        <v>161</v>
      </c>
      <c r="R96" s="226"/>
      <c r="S96" s="227"/>
      <c r="T96" s="98">
        <v>129</v>
      </c>
      <c r="U96" s="50">
        <f>T96+C96</f>
        <v>162</v>
      </c>
      <c r="V96" s="226"/>
      <c r="W96" s="227"/>
      <c r="X96" s="46">
        <f t="shared" si="3"/>
        <v>861</v>
      </c>
      <c r="Y96" s="106">
        <f>D96+H96+L96+P96+T96</f>
        <v>696</v>
      </c>
      <c r="Z96" s="67">
        <f>AVERAGE(E96,I96,M96,Q96,U96)</f>
        <v>172.2</v>
      </c>
      <c r="AA96" s="143">
        <f>AVERAGE(E96,I96,M96,Q96,U96)-C96</f>
        <v>139.2</v>
      </c>
      <c r="AB96" s="220"/>
    </row>
    <row r="97" spans="1:28" s="38" customFormat="1" ht="16.5" customHeight="1" thickBot="1">
      <c r="A97" s="229" t="s">
        <v>186</v>
      </c>
      <c r="B97" s="230"/>
      <c r="C97" s="151">
        <v>31</v>
      </c>
      <c r="D97" s="60">
        <v>147</v>
      </c>
      <c r="E97" s="50">
        <f>D97+C97</f>
        <v>178</v>
      </c>
      <c r="F97" s="204"/>
      <c r="G97" s="228"/>
      <c r="H97" s="99">
        <v>136</v>
      </c>
      <c r="I97" s="46">
        <f>H97+C97</f>
        <v>167</v>
      </c>
      <c r="J97" s="204"/>
      <c r="K97" s="228"/>
      <c r="L97" s="99">
        <v>171</v>
      </c>
      <c r="M97" s="50">
        <f>L97+C97</f>
        <v>202</v>
      </c>
      <c r="N97" s="204"/>
      <c r="O97" s="228"/>
      <c r="P97" s="99">
        <v>143</v>
      </c>
      <c r="Q97" s="50">
        <f>P97+C97</f>
        <v>174</v>
      </c>
      <c r="R97" s="204"/>
      <c r="S97" s="228"/>
      <c r="T97" s="99">
        <v>121</v>
      </c>
      <c r="U97" s="50">
        <f>T97+C97</f>
        <v>152</v>
      </c>
      <c r="V97" s="204"/>
      <c r="W97" s="228"/>
      <c r="X97" s="47">
        <f t="shared" si="3"/>
        <v>873</v>
      </c>
      <c r="Y97" s="107">
        <f>D97+H97+L97+P97+T97</f>
        <v>718</v>
      </c>
      <c r="Z97" s="68">
        <f>AVERAGE(E97,I97,M97,Q97,U97)</f>
        <v>174.6</v>
      </c>
      <c r="AA97" s="144">
        <f>AVERAGE(E97,I97,M97,Q97,U97)-C97</f>
        <v>143.6</v>
      </c>
      <c r="AB97" s="221"/>
    </row>
    <row r="98" spans="1:28" s="38" customFormat="1" ht="41.25" customHeight="1">
      <c r="A98" s="217" t="s">
        <v>249</v>
      </c>
      <c r="B98" s="218"/>
      <c r="C98" s="149">
        <f>SUM(C99:C101)</f>
        <v>115</v>
      </c>
      <c r="D98" s="62">
        <f>SUM(D99:D101)</f>
        <v>380</v>
      </c>
      <c r="E98" s="45">
        <f>SUM(E99:E101)</f>
        <v>495</v>
      </c>
      <c r="F98" s="45">
        <f>E110</f>
        <v>546</v>
      </c>
      <c r="G98" s="42" t="str">
        <f>A110</f>
        <v>Linnaking</v>
      </c>
      <c r="H98" s="62">
        <f>SUM(H99:H101)</f>
        <v>416</v>
      </c>
      <c r="I98" s="45">
        <f>SUM(I99:I101)</f>
        <v>531</v>
      </c>
      <c r="J98" s="45">
        <f>I106</f>
        <v>520</v>
      </c>
      <c r="K98" s="42" t="str">
        <f>A106</f>
        <v>KLG Viru</v>
      </c>
      <c r="L98" s="133">
        <f>SUM(L99:L101)</f>
        <v>385</v>
      </c>
      <c r="M98" s="49">
        <f>SUM(M99:M101)</f>
        <v>500</v>
      </c>
      <c r="N98" s="45">
        <f>M102</f>
        <v>586</v>
      </c>
      <c r="O98" s="42" t="str">
        <f>A102</f>
        <v>Uus Maa</v>
      </c>
      <c r="P98" s="45">
        <f>SUM(P99:P101)</f>
        <v>447</v>
      </c>
      <c r="Q98" s="49">
        <f>SUM(Q99:Q101)</f>
        <v>562</v>
      </c>
      <c r="R98" s="45">
        <f>Q114</f>
        <v>533</v>
      </c>
      <c r="S98" s="42" t="str">
        <f>A114</f>
        <v>T.E.M.</v>
      </c>
      <c r="T98" s="133">
        <f>SUM(T99:T101)</f>
        <v>439</v>
      </c>
      <c r="U98" s="49">
        <f>SUM(U99:U101)</f>
        <v>554</v>
      </c>
      <c r="V98" s="45">
        <f>U94</f>
        <v>492</v>
      </c>
      <c r="W98" s="42" t="str">
        <f>A94</f>
        <v>A.E.J.</v>
      </c>
      <c r="X98" s="36">
        <f t="shared" si="3"/>
        <v>2642</v>
      </c>
      <c r="Y98" s="105">
        <f>SUM(Y99:Y101)</f>
        <v>2067</v>
      </c>
      <c r="Z98" s="65">
        <f>AVERAGE(Z99,Z100,Z101)</f>
        <v>176.13333333333333</v>
      </c>
      <c r="AA98" s="142">
        <f>AVERAGE(AA99,AA100,AA101)</f>
        <v>137.79999999999998</v>
      </c>
      <c r="AB98" s="219">
        <f>F99+J99+N99+R99+V99</f>
        <v>3</v>
      </c>
    </row>
    <row r="99" spans="1:28" s="38" customFormat="1" ht="15.75" customHeight="1">
      <c r="A99" s="222" t="s">
        <v>251</v>
      </c>
      <c r="B99" s="223"/>
      <c r="C99" s="150">
        <v>52</v>
      </c>
      <c r="D99" s="59">
        <v>123</v>
      </c>
      <c r="E99" s="50">
        <f>D99+C99</f>
        <v>175</v>
      </c>
      <c r="F99" s="224">
        <v>0</v>
      </c>
      <c r="G99" s="225"/>
      <c r="H99" s="97">
        <v>130</v>
      </c>
      <c r="I99" s="46">
        <f>H99+C99</f>
        <v>182</v>
      </c>
      <c r="J99" s="224">
        <v>1</v>
      </c>
      <c r="K99" s="225"/>
      <c r="L99" s="97">
        <v>142</v>
      </c>
      <c r="M99" s="50">
        <f>L99+C99</f>
        <v>194</v>
      </c>
      <c r="N99" s="224">
        <v>0</v>
      </c>
      <c r="O99" s="225"/>
      <c r="P99" s="97">
        <v>135</v>
      </c>
      <c r="Q99" s="50">
        <f>P99+C99</f>
        <v>187</v>
      </c>
      <c r="R99" s="224">
        <v>1</v>
      </c>
      <c r="S99" s="225"/>
      <c r="T99" s="97">
        <v>117</v>
      </c>
      <c r="U99" s="50">
        <f>T99+C99</f>
        <v>169</v>
      </c>
      <c r="V99" s="224">
        <v>1</v>
      </c>
      <c r="W99" s="225"/>
      <c r="X99" s="46">
        <f t="shared" si="3"/>
        <v>907</v>
      </c>
      <c r="Y99" s="106">
        <f>D99+H99+L99+P99+T99</f>
        <v>647</v>
      </c>
      <c r="Z99" s="67">
        <f>AVERAGE(E99,I99,M99,Q99,U99)</f>
        <v>181.4</v>
      </c>
      <c r="AA99" s="143">
        <f>AVERAGE(E99,I99,M99,Q99,U99)-C99</f>
        <v>129.4</v>
      </c>
      <c r="AB99" s="220"/>
    </row>
    <row r="100" spans="1:28" s="38" customFormat="1" ht="15.75" customHeight="1">
      <c r="A100" s="222" t="s">
        <v>252</v>
      </c>
      <c r="B100" s="223"/>
      <c r="C100" s="150">
        <v>28</v>
      </c>
      <c r="D100" s="59">
        <v>127</v>
      </c>
      <c r="E100" s="50">
        <f>D100+C100</f>
        <v>155</v>
      </c>
      <c r="F100" s="226"/>
      <c r="G100" s="227"/>
      <c r="H100" s="98">
        <v>150</v>
      </c>
      <c r="I100" s="46">
        <f>H100+C100</f>
        <v>178</v>
      </c>
      <c r="J100" s="226"/>
      <c r="K100" s="227"/>
      <c r="L100" s="98">
        <v>123</v>
      </c>
      <c r="M100" s="50">
        <f>L100+C100</f>
        <v>151</v>
      </c>
      <c r="N100" s="226"/>
      <c r="O100" s="227"/>
      <c r="P100" s="98">
        <v>154</v>
      </c>
      <c r="Q100" s="50">
        <f>P100+C100</f>
        <v>182</v>
      </c>
      <c r="R100" s="226"/>
      <c r="S100" s="227"/>
      <c r="T100" s="98">
        <v>164</v>
      </c>
      <c r="U100" s="50">
        <f>T100+C100</f>
        <v>192</v>
      </c>
      <c r="V100" s="226"/>
      <c r="W100" s="227"/>
      <c r="X100" s="46">
        <f t="shared" si="3"/>
        <v>858</v>
      </c>
      <c r="Y100" s="106">
        <f>D100+H100+L100+P100+T100</f>
        <v>718</v>
      </c>
      <c r="Z100" s="67">
        <f>AVERAGE(E100,I100,M100,Q100,U100)</f>
        <v>171.6</v>
      </c>
      <c r="AA100" s="143">
        <f>AVERAGE(E100,I100,M100,Q100,U100)-C100</f>
        <v>143.6</v>
      </c>
      <c r="AB100" s="220"/>
    </row>
    <row r="101" spans="1:28" s="38" customFormat="1" ht="15.75" customHeight="1" thickBot="1">
      <c r="A101" s="229" t="s">
        <v>250</v>
      </c>
      <c r="B101" s="230"/>
      <c r="C101" s="151">
        <v>35</v>
      </c>
      <c r="D101" s="60">
        <v>130</v>
      </c>
      <c r="E101" s="50">
        <f>D101+C101</f>
        <v>165</v>
      </c>
      <c r="F101" s="204"/>
      <c r="G101" s="228"/>
      <c r="H101" s="99">
        <v>136</v>
      </c>
      <c r="I101" s="46">
        <f>H101+C101</f>
        <v>171</v>
      </c>
      <c r="J101" s="204"/>
      <c r="K101" s="228"/>
      <c r="L101" s="99">
        <v>120</v>
      </c>
      <c r="M101" s="50">
        <f>L101+C101</f>
        <v>155</v>
      </c>
      <c r="N101" s="204"/>
      <c r="O101" s="228"/>
      <c r="P101" s="99">
        <v>158</v>
      </c>
      <c r="Q101" s="50">
        <f>P101+C101</f>
        <v>193</v>
      </c>
      <c r="R101" s="204"/>
      <c r="S101" s="228"/>
      <c r="T101" s="99">
        <v>158</v>
      </c>
      <c r="U101" s="50">
        <f>T101+C101</f>
        <v>193</v>
      </c>
      <c r="V101" s="204"/>
      <c r="W101" s="228"/>
      <c r="X101" s="47">
        <f t="shared" si="3"/>
        <v>877</v>
      </c>
      <c r="Y101" s="107">
        <f>D101+H101+L101+P101+T101</f>
        <v>702</v>
      </c>
      <c r="Z101" s="68">
        <f>AVERAGE(E101,I101,M101,Q101,U101)</f>
        <v>175.4</v>
      </c>
      <c r="AA101" s="144">
        <f>AVERAGE(E101,I101,M101,Q101,U101)-C101</f>
        <v>140.4</v>
      </c>
      <c r="AB101" s="221"/>
    </row>
    <row r="102" spans="1:28" s="38" customFormat="1" ht="47.25" customHeight="1">
      <c r="A102" s="217" t="s">
        <v>130</v>
      </c>
      <c r="B102" s="218"/>
      <c r="C102" s="149">
        <f>SUM(C103:C105)</f>
        <v>113</v>
      </c>
      <c r="D102" s="62">
        <f>SUM(D103:D105)</f>
        <v>433</v>
      </c>
      <c r="E102" s="45">
        <f>SUM(E103:E105)</f>
        <v>546</v>
      </c>
      <c r="F102" s="45">
        <f>E106</f>
        <v>560</v>
      </c>
      <c r="G102" s="42" t="str">
        <f>A106</f>
        <v>KLG Viru</v>
      </c>
      <c r="H102" s="62">
        <f>SUM(H103:H105)</f>
        <v>417</v>
      </c>
      <c r="I102" s="45">
        <f>SUM(I103:I105)</f>
        <v>530</v>
      </c>
      <c r="J102" s="45">
        <f>I114</f>
        <v>499</v>
      </c>
      <c r="K102" s="42" t="str">
        <f>A114</f>
        <v>T.E.M.</v>
      </c>
      <c r="L102" s="133">
        <f>SUM(L103:L105)</f>
        <v>473</v>
      </c>
      <c r="M102" s="69">
        <f>SUM(M103:M105)</f>
        <v>586</v>
      </c>
      <c r="N102" s="45">
        <f>M98</f>
        <v>500</v>
      </c>
      <c r="O102" s="42" t="str">
        <f>A98</f>
        <v>Rakvere Soojus</v>
      </c>
      <c r="P102" s="45">
        <f>SUM(P103:P105)</f>
        <v>403</v>
      </c>
      <c r="Q102" s="49">
        <f>SUM(Q103:Q105)</f>
        <v>516</v>
      </c>
      <c r="R102" s="45">
        <f>Q94</f>
        <v>518</v>
      </c>
      <c r="S102" s="42" t="str">
        <f>A94</f>
        <v>A.E.J.</v>
      </c>
      <c r="T102" s="133">
        <f>SUM(T103:T105)</f>
        <v>470</v>
      </c>
      <c r="U102" s="69">
        <f>SUM(U103:U105)</f>
        <v>583</v>
      </c>
      <c r="V102" s="45">
        <f>U110</f>
        <v>522</v>
      </c>
      <c r="W102" s="42" t="str">
        <f>A110</f>
        <v>Linnaking</v>
      </c>
      <c r="X102" s="36">
        <f t="shared" si="3"/>
        <v>2761</v>
      </c>
      <c r="Y102" s="105">
        <f>SUM(Y103:Y105)</f>
        <v>2196</v>
      </c>
      <c r="Z102" s="65">
        <f>AVERAGE(Z103,Z104,Z105)</f>
        <v>184.0666666666667</v>
      </c>
      <c r="AA102" s="142">
        <f>AVERAGE(AA103,AA104,AA105)</f>
        <v>146.4</v>
      </c>
      <c r="AB102" s="219">
        <f>F103+J103+N103+R103+V103</f>
        <v>3</v>
      </c>
    </row>
    <row r="103" spans="1:28" s="38" customFormat="1" ht="15.75" customHeight="1">
      <c r="A103" s="222" t="s">
        <v>295</v>
      </c>
      <c r="B103" s="223"/>
      <c r="C103" s="150">
        <v>38</v>
      </c>
      <c r="D103" s="59">
        <v>147</v>
      </c>
      <c r="E103" s="50">
        <f>D103+C103</f>
        <v>185</v>
      </c>
      <c r="F103" s="224">
        <v>0</v>
      </c>
      <c r="G103" s="225"/>
      <c r="H103" s="97">
        <v>137</v>
      </c>
      <c r="I103" s="46">
        <f>H103+C103</f>
        <v>175</v>
      </c>
      <c r="J103" s="224">
        <v>1</v>
      </c>
      <c r="K103" s="225"/>
      <c r="L103" s="97">
        <v>160</v>
      </c>
      <c r="M103" s="50">
        <f>L103+C103</f>
        <v>198</v>
      </c>
      <c r="N103" s="224">
        <v>1</v>
      </c>
      <c r="O103" s="225"/>
      <c r="P103" s="97">
        <v>130</v>
      </c>
      <c r="Q103" s="50">
        <f>P103+C103</f>
        <v>168</v>
      </c>
      <c r="R103" s="224">
        <v>0</v>
      </c>
      <c r="S103" s="225"/>
      <c r="T103" s="97">
        <v>118</v>
      </c>
      <c r="U103" s="50">
        <f>T103+C103</f>
        <v>156</v>
      </c>
      <c r="V103" s="224">
        <v>1</v>
      </c>
      <c r="W103" s="225"/>
      <c r="X103" s="46">
        <f t="shared" si="3"/>
        <v>882</v>
      </c>
      <c r="Y103" s="106">
        <f>D103+H103+L103+P103+T103</f>
        <v>692</v>
      </c>
      <c r="Z103" s="67">
        <f>AVERAGE(E103,I103,M103,Q103,U103)</f>
        <v>176.4</v>
      </c>
      <c r="AA103" s="143">
        <f>AVERAGE(E103,I103,M103,Q103,U103)-C103</f>
        <v>138.4</v>
      </c>
      <c r="AB103" s="220"/>
    </row>
    <row r="104" spans="1:28" s="38" customFormat="1" ht="15.75" customHeight="1">
      <c r="A104" s="222" t="s">
        <v>122</v>
      </c>
      <c r="B104" s="223"/>
      <c r="C104" s="150">
        <v>45</v>
      </c>
      <c r="D104" s="59">
        <v>144</v>
      </c>
      <c r="E104" s="50">
        <f>D104+C104</f>
        <v>189</v>
      </c>
      <c r="F104" s="226"/>
      <c r="G104" s="227"/>
      <c r="H104" s="98">
        <v>145</v>
      </c>
      <c r="I104" s="46">
        <f>H104+C104</f>
        <v>190</v>
      </c>
      <c r="J104" s="226"/>
      <c r="K104" s="227"/>
      <c r="L104" s="98">
        <v>155</v>
      </c>
      <c r="M104" s="50">
        <f>L104+C104</f>
        <v>200</v>
      </c>
      <c r="N104" s="226"/>
      <c r="O104" s="227"/>
      <c r="P104" s="98">
        <v>138</v>
      </c>
      <c r="Q104" s="50">
        <f>P104+C104</f>
        <v>183</v>
      </c>
      <c r="R104" s="226"/>
      <c r="S104" s="227"/>
      <c r="T104" s="98">
        <v>155</v>
      </c>
      <c r="U104" s="50">
        <f>T104+C104</f>
        <v>200</v>
      </c>
      <c r="V104" s="226"/>
      <c r="W104" s="227"/>
      <c r="X104" s="46">
        <f t="shared" si="3"/>
        <v>962</v>
      </c>
      <c r="Y104" s="106">
        <f>D104+H104+L104+P104+T104</f>
        <v>737</v>
      </c>
      <c r="Z104" s="67">
        <f>AVERAGE(E104,I104,M104,Q104,U104)</f>
        <v>192.4</v>
      </c>
      <c r="AA104" s="143">
        <f>AVERAGE(E104,I104,M104,Q104,U104)-C104</f>
        <v>147.4</v>
      </c>
      <c r="AB104" s="220"/>
    </row>
    <row r="105" spans="1:28" s="38" customFormat="1" ht="15.75" customHeight="1" thickBot="1">
      <c r="A105" s="229" t="s">
        <v>129</v>
      </c>
      <c r="B105" s="230"/>
      <c r="C105" s="151">
        <v>30</v>
      </c>
      <c r="D105" s="60">
        <v>142</v>
      </c>
      <c r="E105" s="50">
        <f>D105+C105</f>
        <v>172</v>
      </c>
      <c r="F105" s="204"/>
      <c r="G105" s="228"/>
      <c r="H105" s="99">
        <v>135</v>
      </c>
      <c r="I105" s="46">
        <f>H105+C105</f>
        <v>165</v>
      </c>
      <c r="J105" s="204"/>
      <c r="K105" s="228"/>
      <c r="L105" s="99">
        <v>158</v>
      </c>
      <c r="M105" s="50">
        <f>L105+C105</f>
        <v>188</v>
      </c>
      <c r="N105" s="204"/>
      <c r="O105" s="228"/>
      <c r="P105" s="99">
        <v>135</v>
      </c>
      <c r="Q105" s="50">
        <f>P105+C105</f>
        <v>165</v>
      </c>
      <c r="R105" s="204"/>
      <c r="S105" s="228"/>
      <c r="T105" s="99">
        <v>197</v>
      </c>
      <c r="U105" s="50">
        <f>T105+C105</f>
        <v>227</v>
      </c>
      <c r="V105" s="204"/>
      <c r="W105" s="228"/>
      <c r="X105" s="47">
        <f t="shared" si="3"/>
        <v>917</v>
      </c>
      <c r="Y105" s="107">
        <f>D105+H105+L105+P105+T105</f>
        <v>767</v>
      </c>
      <c r="Z105" s="68">
        <f>AVERAGE(E105,I105,M105,Q105,U105)</f>
        <v>183.4</v>
      </c>
      <c r="AA105" s="144">
        <f>AVERAGE(E105,I105,M105,Q105,U105)-C105</f>
        <v>153.4</v>
      </c>
      <c r="AB105" s="221"/>
    </row>
    <row r="106" spans="1:28" s="38" customFormat="1" ht="39" customHeight="1">
      <c r="A106" s="217" t="s">
        <v>100</v>
      </c>
      <c r="B106" s="218"/>
      <c r="C106" s="149">
        <f>SUM(C107:C109)</f>
        <v>109</v>
      </c>
      <c r="D106" s="62">
        <f>SUM(D107:D109)</f>
        <v>451</v>
      </c>
      <c r="E106" s="45">
        <f>SUM(E107:E109)</f>
        <v>560</v>
      </c>
      <c r="F106" s="45">
        <f>E102</f>
        <v>546</v>
      </c>
      <c r="G106" s="42" t="str">
        <f>A102</f>
        <v>Uus Maa</v>
      </c>
      <c r="H106" s="62">
        <f>SUM(H107:H109)</f>
        <v>411</v>
      </c>
      <c r="I106" s="45">
        <f>SUM(I107:I109)</f>
        <v>520</v>
      </c>
      <c r="J106" s="45">
        <f>I98</f>
        <v>531</v>
      </c>
      <c r="K106" s="42" t="str">
        <f>A98</f>
        <v>Rakvere Soojus</v>
      </c>
      <c r="L106" s="133">
        <f>SUM(L107:L109)</f>
        <v>439</v>
      </c>
      <c r="M106" s="49">
        <f>SUM(M107:M109)</f>
        <v>548</v>
      </c>
      <c r="N106" s="45">
        <f>M94</f>
        <v>540</v>
      </c>
      <c r="O106" s="42" t="str">
        <f>A94</f>
        <v>A.E.J.</v>
      </c>
      <c r="P106" s="45">
        <f>SUM(P107:P109)</f>
        <v>405</v>
      </c>
      <c r="Q106" s="49">
        <f>SUM(Q107:Q109)</f>
        <v>514</v>
      </c>
      <c r="R106" s="45">
        <f>Q110</f>
        <v>563</v>
      </c>
      <c r="S106" s="42" t="str">
        <f>A110</f>
        <v>Linnaking</v>
      </c>
      <c r="T106" s="133">
        <f>SUM(T107:T109)</f>
        <v>495</v>
      </c>
      <c r="U106" s="49">
        <f>SUM(U107:U109)</f>
        <v>604</v>
      </c>
      <c r="V106" s="45">
        <f>U114</f>
        <v>576</v>
      </c>
      <c r="W106" s="42" t="str">
        <f>A114</f>
        <v>T.E.M.</v>
      </c>
      <c r="X106" s="36">
        <f t="shared" si="3"/>
        <v>2746</v>
      </c>
      <c r="Y106" s="105">
        <f>SUM(Y107:Y109)</f>
        <v>2201</v>
      </c>
      <c r="Z106" s="65">
        <f>AVERAGE(Z107,Z108,Z109)</f>
        <v>183.0666666666667</v>
      </c>
      <c r="AA106" s="142">
        <f>AVERAGE(AA107,AA108,AA109)</f>
        <v>146.73333333333332</v>
      </c>
      <c r="AB106" s="219">
        <f>F107+J107+N107+R107+V107</f>
        <v>3</v>
      </c>
    </row>
    <row r="107" spans="1:28" s="38" customFormat="1" ht="15.75" customHeight="1">
      <c r="A107" s="222" t="s">
        <v>93</v>
      </c>
      <c r="B107" s="223"/>
      <c r="C107" s="150">
        <v>25</v>
      </c>
      <c r="D107" s="59">
        <v>155</v>
      </c>
      <c r="E107" s="50">
        <f>D107+C107</f>
        <v>180</v>
      </c>
      <c r="F107" s="224">
        <v>1</v>
      </c>
      <c r="G107" s="225"/>
      <c r="H107" s="97">
        <v>160</v>
      </c>
      <c r="I107" s="46">
        <f>H107+C107</f>
        <v>185</v>
      </c>
      <c r="J107" s="224">
        <v>0</v>
      </c>
      <c r="K107" s="225"/>
      <c r="L107" s="97">
        <v>168</v>
      </c>
      <c r="M107" s="50">
        <f>L107+C107</f>
        <v>193</v>
      </c>
      <c r="N107" s="224">
        <v>1</v>
      </c>
      <c r="O107" s="225"/>
      <c r="P107" s="97">
        <v>118</v>
      </c>
      <c r="Q107" s="50">
        <f>P107+C107</f>
        <v>143</v>
      </c>
      <c r="R107" s="224">
        <v>0</v>
      </c>
      <c r="S107" s="225"/>
      <c r="T107" s="97">
        <v>158</v>
      </c>
      <c r="U107" s="50">
        <f>T107+C107</f>
        <v>183</v>
      </c>
      <c r="V107" s="224">
        <v>1</v>
      </c>
      <c r="W107" s="225"/>
      <c r="X107" s="46">
        <f t="shared" si="3"/>
        <v>884</v>
      </c>
      <c r="Y107" s="106">
        <f>D107+H107+L107+P107+T107</f>
        <v>759</v>
      </c>
      <c r="Z107" s="67">
        <f>AVERAGE(E107,I107,M107,Q107,U107)</f>
        <v>176.8</v>
      </c>
      <c r="AA107" s="143">
        <f>AVERAGE(E107,I107,M107,Q107,U107)-C107</f>
        <v>151.8</v>
      </c>
      <c r="AB107" s="220"/>
    </row>
    <row r="108" spans="1:28" s="38" customFormat="1" ht="15.75" customHeight="1">
      <c r="A108" s="222" t="s">
        <v>94</v>
      </c>
      <c r="B108" s="223"/>
      <c r="C108" s="150">
        <v>35</v>
      </c>
      <c r="D108" s="59">
        <v>155</v>
      </c>
      <c r="E108" s="50">
        <f>D108+C108</f>
        <v>190</v>
      </c>
      <c r="F108" s="226"/>
      <c r="G108" s="227"/>
      <c r="H108" s="98">
        <v>143</v>
      </c>
      <c r="I108" s="46">
        <f>H108+C108</f>
        <v>178</v>
      </c>
      <c r="J108" s="226"/>
      <c r="K108" s="227"/>
      <c r="L108" s="98">
        <v>139</v>
      </c>
      <c r="M108" s="50">
        <f>L108+C108</f>
        <v>174</v>
      </c>
      <c r="N108" s="226"/>
      <c r="O108" s="227"/>
      <c r="P108" s="98">
        <v>146</v>
      </c>
      <c r="Q108" s="50">
        <f>P108+C108</f>
        <v>181</v>
      </c>
      <c r="R108" s="226"/>
      <c r="S108" s="227"/>
      <c r="T108" s="98">
        <v>150</v>
      </c>
      <c r="U108" s="50">
        <f>T108+C108</f>
        <v>185</v>
      </c>
      <c r="V108" s="226"/>
      <c r="W108" s="227"/>
      <c r="X108" s="46">
        <f t="shared" si="3"/>
        <v>908</v>
      </c>
      <c r="Y108" s="106">
        <f>D108+H108+L108+P108+T108</f>
        <v>733</v>
      </c>
      <c r="Z108" s="67">
        <f>AVERAGE(E108,I108,M108,Q108,U108)</f>
        <v>181.6</v>
      </c>
      <c r="AA108" s="143">
        <f>AVERAGE(E108,I108,M108,Q108,U108)-C108</f>
        <v>146.6</v>
      </c>
      <c r="AB108" s="220"/>
    </row>
    <row r="109" spans="1:29" s="38" customFormat="1" ht="15.75" customHeight="1" thickBot="1">
      <c r="A109" s="229" t="s">
        <v>92</v>
      </c>
      <c r="B109" s="230"/>
      <c r="C109" s="151">
        <v>49</v>
      </c>
      <c r="D109" s="60">
        <v>141</v>
      </c>
      <c r="E109" s="50">
        <f>D109+C109</f>
        <v>190</v>
      </c>
      <c r="F109" s="204"/>
      <c r="G109" s="228"/>
      <c r="H109" s="99">
        <v>108</v>
      </c>
      <c r="I109" s="46">
        <f>H109+C109</f>
        <v>157</v>
      </c>
      <c r="J109" s="204"/>
      <c r="K109" s="228"/>
      <c r="L109" s="99">
        <v>132</v>
      </c>
      <c r="M109" s="50">
        <f>L109+C109</f>
        <v>181</v>
      </c>
      <c r="N109" s="204"/>
      <c r="O109" s="228"/>
      <c r="P109" s="99">
        <v>141</v>
      </c>
      <c r="Q109" s="50">
        <f>P109+C109</f>
        <v>190</v>
      </c>
      <c r="R109" s="204"/>
      <c r="S109" s="228"/>
      <c r="T109" s="99">
        <v>187</v>
      </c>
      <c r="U109" s="50">
        <f>T109+C109</f>
        <v>236</v>
      </c>
      <c r="V109" s="204"/>
      <c r="W109" s="228"/>
      <c r="X109" s="47">
        <f t="shared" si="3"/>
        <v>954</v>
      </c>
      <c r="Y109" s="107">
        <f>D109+H109+L109+P109+T109</f>
        <v>709</v>
      </c>
      <c r="Z109" s="68">
        <f>AVERAGE(E109,I109,M109,Q109,U109)</f>
        <v>190.8</v>
      </c>
      <c r="AA109" s="144">
        <f>AVERAGE(E109,I109,M109,Q109,U109)-C109</f>
        <v>141.8</v>
      </c>
      <c r="AB109" s="221"/>
      <c r="AC109" s="44"/>
    </row>
    <row r="110" spans="1:28" s="38" customFormat="1" ht="53.25" customHeight="1">
      <c r="A110" s="217" t="s">
        <v>165</v>
      </c>
      <c r="B110" s="218"/>
      <c r="C110" s="149">
        <f>SUM(C111:C113)</f>
        <v>141</v>
      </c>
      <c r="D110" s="62">
        <f>SUM(D111:D113)</f>
        <v>405</v>
      </c>
      <c r="E110" s="45">
        <f>SUM(E111:E113)</f>
        <v>546</v>
      </c>
      <c r="F110" s="45">
        <f>E98</f>
        <v>495</v>
      </c>
      <c r="G110" s="42" t="str">
        <f>A98</f>
        <v>Rakvere Soojus</v>
      </c>
      <c r="H110" s="62">
        <f>SUM(H111:H113)</f>
        <v>412</v>
      </c>
      <c r="I110" s="45">
        <f>SUM(I111:I113)</f>
        <v>553</v>
      </c>
      <c r="J110" s="45">
        <f>I94</f>
        <v>469</v>
      </c>
      <c r="K110" s="42" t="str">
        <f>A94</f>
        <v>A.E.J.</v>
      </c>
      <c r="L110" s="133">
        <f>SUM(L111:L113)</f>
        <v>396</v>
      </c>
      <c r="M110" s="69">
        <f>SUM(M111:M113)</f>
        <v>537</v>
      </c>
      <c r="N110" s="45">
        <f>M114</f>
        <v>513</v>
      </c>
      <c r="O110" s="42" t="str">
        <f>A114</f>
        <v>T.E.M.</v>
      </c>
      <c r="P110" s="45">
        <f>SUM(P111:P113)</f>
        <v>422</v>
      </c>
      <c r="Q110" s="69">
        <f>SUM(Q111:Q113)</f>
        <v>563</v>
      </c>
      <c r="R110" s="45">
        <f>Q106</f>
        <v>514</v>
      </c>
      <c r="S110" s="42" t="str">
        <f>A106</f>
        <v>KLG Viru</v>
      </c>
      <c r="T110" s="133">
        <f>SUM(T111:T113)</f>
        <v>381</v>
      </c>
      <c r="U110" s="69">
        <f>SUM(U111:U113)</f>
        <v>522</v>
      </c>
      <c r="V110" s="45">
        <f>U102</f>
        <v>583</v>
      </c>
      <c r="W110" s="42" t="str">
        <f>A102</f>
        <v>Uus Maa</v>
      </c>
      <c r="X110" s="36">
        <f t="shared" si="3"/>
        <v>2721</v>
      </c>
      <c r="Y110" s="105">
        <f>SUM(Y111:Y113)</f>
        <v>2016</v>
      </c>
      <c r="Z110" s="65">
        <f>AVERAGE(Z111,Z112,Z113)</f>
        <v>181.4</v>
      </c>
      <c r="AA110" s="142">
        <f>AVERAGE(AA111,AA112,AA113)</f>
        <v>134.4</v>
      </c>
      <c r="AB110" s="219">
        <f>F111+J111+N111+R111+V111</f>
        <v>4</v>
      </c>
    </row>
    <row r="111" spans="1:28" s="38" customFormat="1" ht="15.75" customHeight="1">
      <c r="A111" s="222" t="s">
        <v>141</v>
      </c>
      <c r="B111" s="223"/>
      <c r="C111" s="150">
        <v>44</v>
      </c>
      <c r="D111" s="59">
        <v>126</v>
      </c>
      <c r="E111" s="50">
        <f>D111+C111</f>
        <v>170</v>
      </c>
      <c r="F111" s="224">
        <v>1</v>
      </c>
      <c r="G111" s="225"/>
      <c r="H111" s="97">
        <v>140</v>
      </c>
      <c r="I111" s="46">
        <f>H111+C111</f>
        <v>184</v>
      </c>
      <c r="J111" s="224">
        <v>1</v>
      </c>
      <c r="K111" s="225"/>
      <c r="L111" s="97">
        <v>108</v>
      </c>
      <c r="M111" s="50">
        <f>L111+C111</f>
        <v>152</v>
      </c>
      <c r="N111" s="224">
        <v>1</v>
      </c>
      <c r="O111" s="225"/>
      <c r="P111" s="97">
        <v>176</v>
      </c>
      <c r="Q111" s="50">
        <f>P111+C111</f>
        <v>220</v>
      </c>
      <c r="R111" s="224">
        <v>1</v>
      </c>
      <c r="S111" s="225"/>
      <c r="T111" s="97">
        <v>183</v>
      </c>
      <c r="U111" s="50">
        <f>T111+C111</f>
        <v>227</v>
      </c>
      <c r="V111" s="224">
        <v>0</v>
      </c>
      <c r="W111" s="225"/>
      <c r="X111" s="46">
        <f t="shared" si="3"/>
        <v>953</v>
      </c>
      <c r="Y111" s="106">
        <f>D111+H111+L111+P111+T111</f>
        <v>733</v>
      </c>
      <c r="Z111" s="67">
        <f>AVERAGE(E111,I111,M111,Q111,U111)</f>
        <v>190.6</v>
      </c>
      <c r="AA111" s="143">
        <f>AVERAGE(E111,I111,M111,Q111,U111)-C111</f>
        <v>146.6</v>
      </c>
      <c r="AB111" s="220"/>
    </row>
    <row r="112" spans="1:28" s="38" customFormat="1" ht="15.75" customHeight="1">
      <c r="A112" s="222" t="s">
        <v>142</v>
      </c>
      <c r="B112" s="223"/>
      <c r="C112" s="150">
        <v>60</v>
      </c>
      <c r="D112" s="59">
        <v>117</v>
      </c>
      <c r="E112" s="50">
        <f>D112+C112</f>
        <v>177</v>
      </c>
      <c r="F112" s="226"/>
      <c r="G112" s="227"/>
      <c r="H112" s="98">
        <v>122</v>
      </c>
      <c r="I112" s="46">
        <f>H112+C112</f>
        <v>182</v>
      </c>
      <c r="J112" s="226"/>
      <c r="K112" s="227"/>
      <c r="L112" s="98">
        <v>139</v>
      </c>
      <c r="M112" s="50">
        <f>L112+C112</f>
        <v>199</v>
      </c>
      <c r="N112" s="226"/>
      <c r="O112" s="227"/>
      <c r="P112" s="98">
        <v>113</v>
      </c>
      <c r="Q112" s="50">
        <f>P112+C112</f>
        <v>173</v>
      </c>
      <c r="R112" s="226"/>
      <c r="S112" s="227"/>
      <c r="T112" s="98">
        <v>88</v>
      </c>
      <c r="U112" s="50">
        <f>T112+C112</f>
        <v>148</v>
      </c>
      <c r="V112" s="226"/>
      <c r="W112" s="227"/>
      <c r="X112" s="46">
        <f t="shared" si="3"/>
        <v>879</v>
      </c>
      <c r="Y112" s="106">
        <f>D112+H112+L112+P112+T112</f>
        <v>579</v>
      </c>
      <c r="Z112" s="67">
        <f>AVERAGE(E112,I112,M112,Q112,U112)</f>
        <v>175.8</v>
      </c>
      <c r="AA112" s="143">
        <f>AVERAGE(E112,I112,M112,Q112,U112)-C112</f>
        <v>115.80000000000001</v>
      </c>
      <c r="AB112" s="220"/>
    </row>
    <row r="113" spans="1:28" s="38" customFormat="1" ht="15.75" customHeight="1" thickBot="1">
      <c r="A113" s="229" t="s">
        <v>143</v>
      </c>
      <c r="B113" s="230"/>
      <c r="C113" s="151">
        <v>37</v>
      </c>
      <c r="D113" s="60">
        <v>162</v>
      </c>
      <c r="E113" s="50">
        <f>D113+C113</f>
        <v>199</v>
      </c>
      <c r="F113" s="204"/>
      <c r="G113" s="228"/>
      <c r="H113" s="99">
        <v>150</v>
      </c>
      <c r="I113" s="46">
        <f>H113+C113</f>
        <v>187</v>
      </c>
      <c r="J113" s="204"/>
      <c r="K113" s="228"/>
      <c r="L113" s="99">
        <v>149</v>
      </c>
      <c r="M113" s="50">
        <f>L113+C113</f>
        <v>186</v>
      </c>
      <c r="N113" s="204"/>
      <c r="O113" s="228"/>
      <c r="P113" s="99">
        <v>133</v>
      </c>
      <c r="Q113" s="50">
        <f>P113+C113</f>
        <v>170</v>
      </c>
      <c r="R113" s="204"/>
      <c r="S113" s="228"/>
      <c r="T113" s="99">
        <v>110</v>
      </c>
      <c r="U113" s="50">
        <f>T113+C113</f>
        <v>147</v>
      </c>
      <c r="V113" s="204"/>
      <c r="W113" s="228"/>
      <c r="X113" s="47">
        <f t="shared" si="3"/>
        <v>889</v>
      </c>
      <c r="Y113" s="107">
        <f>D113+H113+L113+P113+T113</f>
        <v>704</v>
      </c>
      <c r="Z113" s="68">
        <f>AVERAGE(E113,I113,M113,Q113,U113)</f>
        <v>177.8</v>
      </c>
      <c r="AA113" s="144">
        <f>AVERAGE(E113,I113,M113,Q113,U113)-C113</f>
        <v>140.8</v>
      </c>
      <c r="AB113" s="221"/>
    </row>
    <row r="114" spans="1:28" s="38" customFormat="1" ht="42" customHeight="1">
      <c r="A114" s="217" t="s">
        <v>167</v>
      </c>
      <c r="B114" s="218"/>
      <c r="C114" s="149">
        <f>SUM(C115:C117)</f>
        <v>156</v>
      </c>
      <c r="D114" s="62">
        <f>SUM(D115:D117)</f>
        <v>391</v>
      </c>
      <c r="E114" s="45">
        <f>SUM(E115:E117)</f>
        <v>547</v>
      </c>
      <c r="F114" s="45">
        <f>E94</f>
        <v>609</v>
      </c>
      <c r="G114" s="42" t="str">
        <f>A94</f>
        <v>A.E.J.</v>
      </c>
      <c r="H114" s="62">
        <f>SUM(H115:H117)</f>
        <v>343</v>
      </c>
      <c r="I114" s="45">
        <f>SUM(I115:I117)</f>
        <v>499</v>
      </c>
      <c r="J114" s="45">
        <f>I102</f>
        <v>530</v>
      </c>
      <c r="K114" s="42" t="str">
        <f>A102</f>
        <v>Uus Maa</v>
      </c>
      <c r="L114" s="133">
        <f>SUM(L115:L117)</f>
        <v>357</v>
      </c>
      <c r="M114" s="49">
        <f>SUM(M115:M117)</f>
        <v>513</v>
      </c>
      <c r="N114" s="45">
        <f>M110</f>
        <v>537</v>
      </c>
      <c r="O114" s="42" t="str">
        <f>A110</f>
        <v>Linnaking</v>
      </c>
      <c r="P114" s="45">
        <f>SUM(P115:P117)</f>
        <v>377</v>
      </c>
      <c r="Q114" s="49">
        <f>SUM(Q115:Q117)</f>
        <v>533</v>
      </c>
      <c r="R114" s="45">
        <f>Q98</f>
        <v>562</v>
      </c>
      <c r="S114" s="42" t="str">
        <f>A98</f>
        <v>Rakvere Soojus</v>
      </c>
      <c r="T114" s="133">
        <f>SUM(T115:T117)</f>
        <v>420</v>
      </c>
      <c r="U114" s="49">
        <f>SUM(U115:U117)</f>
        <v>576</v>
      </c>
      <c r="V114" s="45">
        <f>U106</f>
        <v>604</v>
      </c>
      <c r="W114" s="42" t="str">
        <f>A106</f>
        <v>KLG Viru</v>
      </c>
      <c r="X114" s="36">
        <f t="shared" si="3"/>
        <v>2668</v>
      </c>
      <c r="Y114" s="105">
        <f>SUM(Y115:Y117)</f>
        <v>1888</v>
      </c>
      <c r="Z114" s="65">
        <f>AVERAGE(Z115,Z116,Z117)</f>
        <v>177.86666666666667</v>
      </c>
      <c r="AA114" s="142">
        <f>AVERAGE(AA115,AA116,AA117)</f>
        <v>125.86666666666667</v>
      </c>
      <c r="AB114" s="219">
        <f>F115+J115+N115+R115+V115</f>
        <v>0</v>
      </c>
    </row>
    <row r="115" spans="1:28" s="38" customFormat="1" ht="15.75" customHeight="1">
      <c r="A115" s="222" t="s">
        <v>170</v>
      </c>
      <c r="B115" s="223"/>
      <c r="C115" s="150">
        <v>47</v>
      </c>
      <c r="D115" s="59">
        <v>143</v>
      </c>
      <c r="E115" s="50">
        <f>D115+C115</f>
        <v>190</v>
      </c>
      <c r="F115" s="224">
        <v>0</v>
      </c>
      <c r="G115" s="225"/>
      <c r="H115" s="97">
        <v>109</v>
      </c>
      <c r="I115" s="46">
        <f>H115+C115</f>
        <v>156</v>
      </c>
      <c r="J115" s="224">
        <v>0</v>
      </c>
      <c r="K115" s="225"/>
      <c r="L115" s="97">
        <v>126</v>
      </c>
      <c r="M115" s="50">
        <f>L115+C115</f>
        <v>173</v>
      </c>
      <c r="N115" s="224">
        <v>0</v>
      </c>
      <c r="O115" s="225"/>
      <c r="P115" s="97">
        <v>121</v>
      </c>
      <c r="Q115" s="50">
        <f>P115+C115</f>
        <v>168</v>
      </c>
      <c r="R115" s="224">
        <v>0</v>
      </c>
      <c r="S115" s="225"/>
      <c r="T115" s="97">
        <v>113</v>
      </c>
      <c r="U115" s="50">
        <f>T115+C115</f>
        <v>160</v>
      </c>
      <c r="V115" s="224">
        <v>0</v>
      </c>
      <c r="W115" s="225"/>
      <c r="X115" s="46">
        <f t="shared" si="3"/>
        <v>847</v>
      </c>
      <c r="Y115" s="106">
        <f>D115+H115+L115+P115+T115</f>
        <v>612</v>
      </c>
      <c r="Z115" s="67">
        <f>AVERAGE(E115,I115,M115,Q115,U115)</f>
        <v>169.4</v>
      </c>
      <c r="AA115" s="143">
        <f>AVERAGE(E115,I115,M115,Q115,U115)-C115</f>
        <v>122.4</v>
      </c>
      <c r="AB115" s="220"/>
    </row>
    <row r="116" spans="1:28" s="38" customFormat="1" ht="15.75" customHeight="1">
      <c r="A116" s="222" t="s">
        <v>168</v>
      </c>
      <c r="B116" s="223"/>
      <c r="C116" s="150">
        <v>52</v>
      </c>
      <c r="D116" s="59">
        <v>134</v>
      </c>
      <c r="E116" s="50">
        <f>D116+C116</f>
        <v>186</v>
      </c>
      <c r="F116" s="226"/>
      <c r="G116" s="227"/>
      <c r="H116" s="98">
        <v>150</v>
      </c>
      <c r="I116" s="46">
        <f>H116+C116</f>
        <v>202</v>
      </c>
      <c r="J116" s="226"/>
      <c r="K116" s="227"/>
      <c r="L116" s="98">
        <v>137</v>
      </c>
      <c r="M116" s="50">
        <f>L116+C116</f>
        <v>189</v>
      </c>
      <c r="N116" s="226"/>
      <c r="O116" s="227"/>
      <c r="P116" s="98">
        <v>126</v>
      </c>
      <c r="Q116" s="50">
        <f>P116+C116</f>
        <v>178</v>
      </c>
      <c r="R116" s="226"/>
      <c r="S116" s="227"/>
      <c r="T116" s="98">
        <v>140</v>
      </c>
      <c r="U116" s="50">
        <f>T116+C116</f>
        <v>192</v>
      </c>
      <c r="V116" s="226"/>
      <c r="W116" s="227"/>
      <c r="X116" s="46">
        <f t="shared" si="3"/>
        <v>947</v>
      </c>
      <c r="Y116" s="106">
        <f>D116+H116+L116+P116+T116</f>
        <v>687</v>
      </c>
      <c r="Z116" s="67">
        <f>AVERAGE(E116,I116,M116,Q116,U116)</f>
        <v>189.4</v>
      </c>
      <c r="AA116" s="143">
        <f>AVERAGE(E116,I116,M116,Q116,U116)-C116</f>
        <v>137.4</v>
      </c>
      <c r="AB116" s="220"/>
    </row>
    <row r="117" spans="1:28" s="38" customFormat="1" ht="14.25" customHeight="1" thickBot="1">
      <c r="A117" s="229" t="s">
        <v>169</v>
      </c>
      <c r="B117" s="230"/>
      <c r="C117" s="151">
        <v>57</v>
      </c>
      <c r="D117" s="60">
        <v>114</v>
      </c>
      <c r="E117" s="50">
        <f>D117+C117</f>
        <v>171</v>
      </c>
      <c r="F117" s="204"/>
      <c r="G117" s="228"/>
      <c r="H117" s="99">
        <v>84</v>
      </c>
      <c r="I117" s="46">
        <f>H117+C117</f>
        <v>141</v>
      </c>
      <c r="J117" s="204"/>
      <c r="K117" s="228"/>
      <c r="L117" s="99">
        <v>94</v>
      </c>
      <c r="M117" s="50">
        <f>L117+C117</f>
        <v>151</v>
      </c>
      <c r="N117" s="204"/>
      <c r="O117" s="228"/>
      <c r="P117" s="99">
        <v>130</v>
      </c>
      <c r="Q117" s="50">
        <f>P117+C117</f>
        <v>187</v>
      </c>
      <c r="R117" s="204"/>
      <c r="S117" s="228"/>
      <c r="T117" s="99">
        <v>167</v>
      </c>
      <c r="U117" s="50">
        <f>T117+C117</f>
        <v>224</v>
      </c>
      <c r="V117" s="204"/>
      <c r="W117" s="228"/>
      <c r="X117" s="47">
        <f t="shared" si="3"/>
        <v>874</v>
      </c>
      <c r="Y117" s="107">
        <f>D117+H117+L117+P117+T117</f>
        <v>589</v>
      </c>
      <c r="Z117" s="68">
        <f>AVERAGE(E117,I117,M117,Q117,U117)</f>
        <v>174.8</v>
      </c>
      <c r="AA117" s="144">
        <f>AVERAGE(E117,I117,M117,Q117,U117)-C117</f>
        <v>117.80000000000001</v>
      </c>
      <c r="AB117" s="221"/>
    </row>
    <row r="118" spans="1:28" s="40" customFormat="1" ht="12.75" customHeight="1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4"/>
      <c r="W118" s="25"/>
      <c r="Y118" s="57"/>
      <c r="Z118" s="41"/>
      <c r="AA118" s="139"/>
      <c r="AB118" s="25"/>
    </row>
    <row r="119" spans="1:28" s="40" customFormat="1" ht="14.25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4"/>
      <c r="W119" s="25"/>
      <c r="Y119" s="57"/>
      <c r="Z119" s="41"/>
      <c r="AA119" s="139"/>
      <c r="AB119" s="25"/>
    </row>
  </sheetData>
  <mergeCells count="293">
    <mergeCell ref="A118:U119"/>
    <mergeCell ref="A114:B114"/>
    <mergeCell ref="AB114:AB117"/>
    <mergeCell ref="A115:B115"/>
    <mergeCell ref="F115:G117"/>
    <mergeCell ref="J115:K117"/>
    <mergeCell ref="N115:O117"/>
    <mergeCell ref="R115:S117"/>
    <mergeCell ref="V115:W117"/>
    <mergeCell ref="A116:B116"/>
    <mergeCell ref="A117:B117"/>
    <mergeCell ref="A110:B110"/>
    <mergeCell ref="AB110:AB113"/>
    <mergeCell ref="A111:B111"/>
    <mergeCell ref="F111:G113"/>
    <mergeCell ref="J111:K113"/>
    <mergeCell ref="N111:O113"/>
    <mergeCell ref="R111:S113"/>
    <mergeCell ref="V111:W113"/>
    <mergeCell ref="A112:B112"/>
    <mergeCell ref="A113:B113"/>
    <mergeCell ref="A106:B106"/>
    <mergeCell ref="AB106:AB109"/>
    <mergeCell ref="A107:B107"/>
    <mergeCell ref="F107:G109"/>
    <mergeCell ref="J107:K109"/>
    <mergeCell ref="N107:O109"/>
    <mergeCell ref="R107:S109"/>
    <mergeCell ref="V107:W109"/>
    <mergeCell ref="A108:B108"/>
    <mergeCell ref="A109:B109"/>
    <mergeCell ref="A102:B102"/>
    <mergeCell ref="AB102:AB105"/>
    <mergeCell ref="A103:B103"/>
    <mergeCell ref="F103:G105"/>
    <mergeCell ref="J103:K105"/>
    <mergeCell ref="N103:O105"/>
    <mergeCell ref="R103:S105"/>
    <mergeCell ref="V103:W105"/>
    <mergeCell ref="A104:B104"/>
    <mergeCell ref="A105:B105"/>
    <mergeCell ref="A98:B98"/>
    <mergeCell ref="AB98:AB101"/>
    <mergeCell ref="A99:B99"/>
    <mergeCell ref="F99:G101"/>
    <mergeCell ref="J99:K101"/>
    <mergeCell ref="N99:O101"/>
    <mergeCell ref="R99:S101"/>
    <mergeCell ref="V99:W101"/>
    <mergeCell ref="A100:B100"/>
    <mergeCell ref="A101:B101"/>
    <mergeCell ref="A94:B94"/>
    <mergeCell ref="AB94:AB97"/>
    <mergeCell ref="A95:B95"/>
    <mergeCell ref="F95:G97"/>
    <mergeCell ref="J95:K97"/>
    <mergeCell ref="N95:O97"/>
    <mergeCell ref="R95:S97"/>
    <mergeCell ref="V95:W97"/>
    <mergeCell ref="A96:B96"/>
    <mergeCell ref="A97:B97"/>
    <mergeCell ref="V92:W92"/>
    <mergeCell ref="A93:B93"/>
    <mergeCell ref="F93:G93"/>
    <mergeCell ref="J93:K93"/>
    <mergeCell ref="N93:O93"/>
    <mergeCell ref="R93:S93"/>
    <mergeCell ref="V93:W93"/>
    <mergeCell ref="A89:U91"/>
    <mergeCell ref="A92:B92"/>
    <mergeCell ref="F92:G92"/>
    <mergeCell ref="J92:K92"/>
    <mergeCell ref="N92:O92"/>
    <mergeCell ref="R92:S92"/>
    <mergeCell ref="A85:B85"/>
    <mergeCell ref="AB85:AB88"/>
    <mergeCell ref="A86:B86"/>
    <mergeCell ref="F86:G88"/>
    <mergeCell ref="J86:K88"/>
    <mergeCell ref="N86:O88"/>
    <mergeCell ref="R86:S88"/>
    <mergeCell ref="V86:W88"/>
    <mergeCell ref="A87:B87"/>
    <mergeCell ref="A88:B88"/>
    <mergeCell ref="A81:B81"/>
    <mergeCell ref="AB81:AB84"/>
    <mergeCell ref="A82:B82"/>
    <mergeCell ref="F82:G84"/>
    <mergeCell ref="J82:K84"/>
    <mergeCell ref="N82:O84"/>
    <mergeCell ref="R82:S84"/>
    <mergeCell ref="V82:W84"/>
    <mergeCell ref="A83:B83"/>
    <mergeCell ref="A84:B84"/>
    <mergeCell ref="A77:B77"/>
    <mergeCell ref="AB77:AB80"/>
    <mergeCell ref="A78:B78"/>
    <mergeCell ref="F78:G80"/>
    <mergeCell ref="J78:K80"/>
    <mergeCell ref="N78:O80"/>
    <mergeCell ref="R78:S80"/>
    <mergeCell ref="V78:W80"/>
    <mergeCell ref="A79:B79"/>
    <mergeCell ref="A80:B80"/>
    <mergeCell ref="A73:B73"/>
    <mergeCell ref="AB73:AB76"/>
    <mergeCell ref="A74:B74"/>
    <mergeCell ref="F74:G76"/>
    <mergeCell ref="J74:K76"/>
    <mergeCell ref="N74:O76"/>
    <mergeCell ref="R74:S76"/>
    <mergeCell ref="V74:W76"/>
    <mergeCell ref="A75:B75"/>
    <mergeCell ref="A76:B76"/>
    <mergeCell ref="A69:B69"/>
    <mergeCell ref="AB69:AB72"/>
    <mergeCell ref="A70:B70"/>
    <mergeCell ref="F70:G72"/>
    <mergeCell ref="J70:K72"/>
    <mergeCell ref="N70:O72"/>
    <mergeCell ref="R70:S72"/>
    <mergeCell ref="V70:W72"/>
    <mergeCell ref="A71:B71"/>
    <mergeCell ref="A72:B72"/>
    <mergeCell ref="A65:B65"/>
    <mergeCell ref="AB65:AB68"/>
    <mergeCell ref="A66:B66"/>
    <mergeCell ref="F66:G68"/>
    <mergeCell ref="J66:K68"/>
    <mergeCell ref="N66:O68"/>
    <mergeCell ref="R66:S68"/>
    <mergeCell ref="V66:W68"/>
    <mergeCell ref="A67:B67"/>
    <mergeCell ref="A68:B68"/>
    <mergeCell ref="V63:W63"/>
    <mergeCell ref="A64:B64"/>
    <mergeCell ref="F64:G64"/>
    <mergeCell ref="J64:K64"/>
    <mergeCell ref="N64:O64"/>
    <mergeCell ref="R64:S64"/>
    <mergeCell ref="V64:W64"/>
    <mergeCell ref="A60:U62"/>
    <mergeCell ref="A63:B63"/>
    <mergeCell ref="F63:G63"/>
    <mergeCell ref="J63:K63"/>
    <mergeCell ref="N63:O63"/>
    <mergeCell ref="R63:S63"/>
    <mergeCell ref="A55:B55"/>
    <mergeCell ref="AB55:AB58"/>
    <mergeCell ref="A56:B56"/>
    <mergeCell ref="F56:G58"/>
    <mergeCell ref="J56:K58"/>
    <mergeCell ref="N56:O58"/>
    <mergeCell ref="R56:S58"/>
    <mergeCell ref="V56:W58"/>
    <mergeCell ref="A57:B57"/>
    <mergeCell ref="A58:B58"/>
    <mergeCell ref="A51:B51"/>
    <mergeCell ref="AB51:AB54"/>
    <mergeCell ref="A52:B52"/>
    <mergeCell ref="F52:G54"/>
    <mergeCell ref="J52:K54"/>
    <mergeCell ref="N52:O54"/>
    <mergeCell ref="R52:S54"/>
    <mergeCell ref="V52:W54"/>
    <mergeCell ref="A53:B53"/>
    <mergeCell ref="A54:B54"/>
    <mergeCell ref="A47:B47"/>
    <mergeCell ref="AB47:AB50"/>
    <mergeCell ref="A48:B48"/>
    <mergeCell ref="F48:G50"/>
    <mergeCell ref="J48:K50"/>
    <mergeCell ref="N48:O50"/>
    <mergeCell ref="R48:S50"/>
    <mergeCell ref="V48:W50"/>
    <mergeCell ref="A49:B49"/>
    <mergeCell ref="A50:B50"/>
    <mergeCell ref="A43:B43"/>
    <mergeCell ref="AB43:AB46"/>
    <mergeCell ref="A44:B44"/>
    <mergeCell ref="F44:G46"/>
    <mergeCell ref="J44:K46"/>
    <mergeCell ref="N44:O46"/>
    <mergeCell ref="R44:S46"/>
    <mergeCell ref="V44:W46"/>
    <mergeCell ref="A45:B45"/>
    <mergeCell ref="A46:B46"/>
    <mergeCell ref="A39:B39"/>
    <mergeCell ref="AB39:AB42"/>
    <mergeCell ref="A40:B40"/>
    <mergeCell ref="F40:G42"/>
    <mergeCell ref="J40:K42"/>
    <mergeCell ref="N40:O42"/>
    <mergeCell ref="R40:S42"/>
    <mergeCell ref="V40:W42"/>
    <mergeCell ref="A41:B41"/>
    <mergeCell ref="A42:B42"/>
    <mergeCell ref="A35:B35"/>
    <mergeCell ref="AB35:AB38"/>
    <mergeCell ref="A36:B36"/>
    <mergeCell ref="F36:G38"/>
    <mergeCell ref="J36:K38"/>
    <mergeCell ref="N36:O38"/>
    <mergeCell ref="R36:S38"/>
    <mergeCell ref="V36:W38"/>
    <mergeCell ref="A37:B37"/>
    <mergeCell ref="A38:B38"/>
    <mergeCell ref="V33:W33"/>
    <mergeCell ref="A34:B34"/>
    <mergeCell ref="F34:G34"/>
    <mergeCell ref="J34:K34"/>
    <mergeCell ref="N34:O34"/>
    <mergeCell ref="R34:S34"/>
    <mergeCell ref="V34:W34"/>
    <mergeCell ref="A30:U32"/>
    <mergeCell ref="A33:B33"/>
    <mergeCell ref="F33:G33"/>
    <mergeCell ref="J33:K33"/>
    <mergeCell ref="N33:O33"/>
    <mergeCell ref="R33:S33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V4:W4"/>
    <mergeCell ref="A5:B5"/>
    <mergeCell ref="F5:G5"/>
    <mergeCell ref="J5:K5"/>
    <mergeCell ref="N5:O5"/>
    <mergeCell ref="R5:S5"/>
    <mergeCell ref="V5:W5"/>
    <mergeCell ref="A1:U3"/>
    <mergeCell ref="A4:B4"/>
    <mergeCell ref="F4:G4"/>
    <mergeCell ref="J4:K4"/>
    <mergeCell ref="N4:O4"/>
    <mergeCell ref="R4:S4"/>
  </mergeCells>
  <conditionalFormatting sqref="C19:W21 T23:U25 J111 H111:I113 F111 C23:E25 L111:M113 X107:X113 J98 Y111:Z113 V111 P111:Q113 R111 N111 Y107:Z109 C95:Z97 C103:Z105 C99:Z101 C107:W109 C70:Z72 X78:X84 J69 Y82:Z84 C111:E113 C74:Z76 C82:W84 C78:W80 Y78:Z80 T111:U113 J52 C115:Z117 C44:Z46 L52:M54 X48:X54 J39 Y52:Z54 V52 C86:Z88 R52 N52 H52:I54 Y48:Z50 C40:Z42 C36:Z38 C66:Z68 P52:Q54 F52 C48:W50 J23 P23:Q25 L23:M25 C11:Z13 X19:X25 J10 Y23:Z25 V23 C52:E54 R23 N23 C7:Z9 Y19:Z21 H23:I25 C56:Z58 T52:U54 C15:Z17 F23 C27:Z29">
    <cfRule type="cellIs" priority="1" dxfId="6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4"/>
  <sheetViews>
    <sheetView zoomScale="75" zoomScaleNormal="75" workbookViewId="0" topLeftCell="A1">
      <selection activeCell="Z2" sqref="Z2"/>
    </sheetView>
  </sheetViews>
  <sheetFormatPr defaultColWidth="9.140625" defaultRowHeight="12.75"/>
  <cols>
    <col min="1" max="1" width="9.140625" style="39" customWidth="1"/>
    <col min="2" max="2" width="10.7109375" style="39" customWidth="1"/>
    <col min="3" max="3" width="5.28125" style="146" customWidth="1"/>
    <col min="4" max="4" width="5.28125" style="61" hidden="1" customWidth="1"/>
    <col min="5" max="5" width="8.28125" style="22" bestFit="1" customWidth="1"/>
    <col min="6" max="6" width="6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6.00390625" style="22" customWidth="1"/>
    <col min="11" max="11" width="8.57421875" style="22" customWidth="1"/>
    <col min="12" max="12" width="5.28125" style="83" hidden="1" customWidth="1"/>
    <col min="13" max="13" width="7.57421875" style="22" customWidth="1"/>
    <col min="14" max="14" width="5.8515625" style="22" customWidth="1"/>
    <col min="15" max="15" width="8.7109375" style="22" customWidth="1"/>
    <col min="16" max="16" width="5.28125" style="83" hidden="1" customWidth="1"/>
    <col min="17" max="17" width="8.28125" style="22" customWidth="1"/>
    <col min="18" max="18" width="6.140625" style="22" customWidth="1"/>
    <col min="19" max="19" width="9.00390625" style="22" customWidth="1"/>
    <col min="20" max="20" width="5.28125" style="83" hidden="1" customWidth="1"/>
    <col min="21" max="21" width="8.28125" style="22" customWidth="1"/>
    <col min="22" max="22" width="5.7109375" style="22" customWidth="1"/>
    <col min="23" max="23" width="8.7109375" style="22" customWidth="1"/>
    <col min="24" max="24" width="10.00390625" style="22" customWidth="1"/>
    <col min="25" max="25" width="5.8515625" style="83" hidden="1" customWidth="1"/>
    <col min="26" max="26" width="11.28125" style="22" customWidth="1"/>
    <col min="27" max="27" width="9.421875" style="138" customWidth="1"/>
    <col min="28" max="28" width="13.00390625" style="22" bestFit="1" customWidth="1"/>
    <col min="29" max="16384" width="9.140625" style="22" customWidth="1"/>
  </cols>
  <sheetData>
    <row r="1" spans="1:28" s="40" customFormat="1" ht="0.75" customHeight="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4"/>
      <c r="W1" s="25"/>
      <c r="Y1" s="57"/>
      <c r="Z1" s="41"/>
      <c r="AA1" s="139"/>
      <c r="AB1" s="25"/>
    </row>
    <row r="2" spans="1:28" s="40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4"/>
      <c r="W2" s="25"/>
      <c r="Y2" s="57"/>
      <c r="Z2" s="41"/>
      <c r="AA2" s="139"/>
      <c r="AB2" s="25"/>
    </row>
    <row r="3" spans="1:28" s="40" customFormat="1" ht="23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5"/>
      <c r="W3" s="25"/>
      <c r="Y3" s="57"/>
      <c r="Z3" s="41"/>
      <c r="AA3" s="139"/>
      <c r="AB3" s="25"/>
    </row>
    <row r="4" spans="1:28" s="31" customFormat="1" ht="15.75" customHeight="1">
      <c r="A4" s="209" t="s">
        <v>0</v>
      </c>
      <c r="B4" s="210"/>
      <c r="C4" s="147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140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48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141" t="s">
        <v>43</v>
      </c>
      <c r="AB5" s="35" t="s">
        <v>12</v>
      </c>
    </row>
    <row r="6" spans="1:28" s="38" customFormat="1" ht="42" customHeight="1">
      <c r="A6" s="217" t="s">
        <v>257</v>
      </c>
      <c r="B6" s="218"/>
      <c r="C6" s="149">
        <f>SUM(C7:C9)</f>
        <v>91</v>
      </c>
      <c r="D6" s="62">
        <f>SUM(D7:D9)</f>
        <v>434</v>
      </c>
      <c r="E6" s="63">
        <f>SUM(E7:E9)</f>
        <v>525</v>
      </c>
      <c r="F6" s="46">
        <f>E26</f>
        <v>544</v>
      </c>
      <c r="G6" s="64" t="str">
        <f>A26</f>
        <v>KUNDA TRANS</v>
      </c>
      <c r="H6" s="62">
        <f>SUM(H7:H9)</f>
        <v>413</v>
      </c>
      <c r="I6" s="49">
        <f>SUM(I7:I9)</f>
        <v>504</v>
      </c>
      <c r="J6" s="49">
        <f>I22</f>
        <v>558</v>
      </c>
      <c r="K6" s="42" t="str">
        <f>A22</f>
        <v>Meistrid&amp; Margarita</v>
      </c>
      <c r="L6" s="58">
        <f>SUM(L7:L9)</f>
        <v>521</v>
      </c>
      <c r="M6" s="45">
        <f>SUM(M7:M9)</f>
        <v>612</v>
      </c>
      <c r="N6" s="45">
        <f>M18</f>
        <v>558</v>
      </c>
      <c r="O6" s="42" t="str">
        <f>A18</f>
        <v>Isokuul</v>
      </c>
      <c r="P6" s="45">
        <f>SUM(P7:P9)</f>
        <v>526</v>
      </c>
      <c r="Q6" s="45">
        <f>SUM(Q7:Q9)</f>
        <v>617</v>
      </c>
      <c r="R6" s="45">
        <f>Q14</f>
        <v>527</v>
      </c>
      <c r="S6" s="42" t="str">
        <f>A14</f>
        <v>NOOBEL</v>
      </c>
      <c r="T6" s="133">
        <f>SUM(T7:T9)</f>
        <v>521</v>
      </c>
      <c r="U6" s="45">
        <f>SUM(U7:U9)</f>
        <v>612</v>
      </c>
      <c r="V6" s="45">
        <f>U10</f>
        <v>432</v>
      </c>
      <c r="W6" s="42" t="str">
        <f>A10</f>
        <v>Fulltrade</v>
      </c>
      <c r="X6" s="36">
        <f aca="true" t="shared" si="0" ref="X6:X29">E6+I6+M6+Q6+U6</f>
        <v>2870</v>
      </c>
      <c r="Y6" s="105">
        <f>SUM(Y7:Y9)</f>
        <v>2415</v>
      </c>
      <c r="Z6" s="37">
        <f>AVERAGE(Z7,Z8,Z9)</f>
        <v>191.33333333333334</v>
      </c>
      <c r="AA6" s="142">
        <f>AVERAGE(AA7,AA8,AA9)</f>
        <v>161</v>
      </c>
      <c r="AB6" s="219">
        <f>F7+J7+N7+R7+V7</f>
        <v>3</v>
      </c>
    </row>
    <row r="7" spans="1:28" s="38" customFormat="1" ht="15.75" customHeight="1">
      <c r="A7" s="222" t="s">
        <v>246</v>
      </c>
      <c r="B7" s="223"/>
      <c r="C7" s="150">
        <v>21</v>
      </c>
      <c r="D7" s="59">
        <v>201</v>
      </c>
      <c r="E7" s="50">
        <f>D7+C7</f>
        <v>222</v>
      </c>
      <c r="F7" s="224">
        <v>0</v>
      </c>
      <c r="G7" s="225"/>
      <c r="H7" s="97">
        <v>145</v>
      </c>
      <c r="I7" s="46">
        <f>H7+C7</f>
        <v>166</v>
      </c>
      <c r="J7" s="224">
        <v>0</v>
      </c>
      <c r="K7" s="225"/>
      <c r="L7" s="97">
        <v>203</v>
      </c>
      <c r="M7" s="50">
        <f>L7+C7</f>
        <v>224</v>
      </c>
      <c r="N7" s="224">
        <v>1</v>
      </c>
      <c r="O7" s="225"/>
      <c r="P7" s="97">
        <v>185</v>
      </c>
      <c r="Q7" s="50">
        <f>P7+C7</f>
        <v>206</v>
      </c>
      <c r="R7" s="224">
        <v>1</v>
      </c>
      <c r="S7" s="225"/>
      <c r="T7" s="97">
        <v>181</v>
      </c>
      <c r="U7" s="50">
        <f>T7+C7</f>
        <v>202</v>
      </c>
      <c r="V7" s="224">
        <v>1</v>
      </c>
      <c r="W7" s="225"/>
      <c r="X7" s="46">
        <f t="shared" si="0"/>
        <v>1020</v>
      </c>
      <c r="Y7" s="106">
        <f>D7+H7+L7+P7+T7</f>
        <v>915</v>
      </c>
      <c r="Z7" s="67">
        <f>AVERAGE(E7,I7,M7,Q7,U7)</f>
        <v>204</v>
      </c>
      <c r="AA7" s="143">
        <f>AVERAGE(E7,I7,M7,Q7,U7)-C7</f>
        <v>183</v>
      </c>
      <c r="AB7" s="220"/>
    </row>
    <row r="8" spans="1:28" s="38" customFormat="1" ht="15.75" customHeight="1">
      <c r="A8" s="222" t="s">
        <v>247</v>
      </c>
      <c r="B8" s="223"/>
      <c r="C8" s="150">
        <v>48</v>
      </c>
      <c r="D8" s="59">
        <v>88</v>
      </c>
      <c r="E8" s="50">
        <f>D8+C8</f>
        <v>136</v>
      </c>
      <c r="F8" s="226"/>
      <c r="G8" s="227"/>
      <c r="H8" s="98">
        <v>117</v>
      </c>
      <c r="I8" s="46">
        <f>H8+C8</f>
        <v>165</v>
      </c>
      <c r="J8" s="226"/>
      <c r="K8" s="227"/>
      <c r="L8" s="98">
        <v>160</v>
      </c>
      <c r="M8" s="50">
        <f>L8+C8</f>
        <v>208</v>
      </c>
      <c r="N8" s="226"/>
      <c r="O8" s="227"/>
      <c r="P8" s="98">
        <v>169</v>
      </c>
      <c r="Q8" s="50">
        <f>P8+C8</f>
        <v>217</v>
      </c>
      <c r="R8" s="226"/>
      <c r="S8" s="227"/>
      <c r="T8" s="98">
        <v>155</v>
      </c>
      <c r="U8" s="50">
        <f>T8+C8</f>
        <v>203</v>
      </c>
      <c r="V8" s="226"/>
      <c r="W8" s="227"/>
      <c r="X8" s="46">
        <f t="shared" si="0"/>
        <v>929</v>
      </c>
      <c r="Y8" s="106">
        <f>D8+H8+L8+P8+T8</f>
        <v>689</v>
      </c>
      <c r="Z8" s="67">
        <f>AVERAGE(E8,I8,M8,Q8,U8)</f>
        <v>185.8</v>
      </c>
      <c r="AA8" s="143">
        <f>AVERAGE(E8,I8,M8,Q8,U8)-C8</f>
        <v>137.8</v>
      </c>
      <c r="AB8" s="220"/>
    </row>
    <row r="9" spans="1:28" s="38" customFormat="1" ht="16.5" customHeight="1" thickBot="1">
      <c r="A9" s="229" t="s">
        <v>248</v>
      </c>
      <c r="B9" s="230"/>
      <c r="C9" s="151">
        <v>22</v>
      </c>
      <c r="D9" s="60">
        <v>145</v>
      </c>
      <c r="E9" s="50">
        <f>D9+C9</f>
        <v>167</v>
      </c>
      <c r="F9" s="204"/>
      <c r="G9" s="228"/>
      <c r="H9" s="99">
        <v>151</v>
      </c>
      <c r="I9" s="46">
        <f>H9+C9</f>
        <v>173</v>
      </c>
      <c r="J9" s="204"/>
      <c r="K9" s="228"/>
      <c r="L9" s="99">
        <v>158</v>
      </c>
      <c r="M9" s="50">
        <f>L9+C9</f>
        <v>180</v>
      </c>
      <c r="N9" s="204"/>
      <c r="O9" s="228"/>
      <c r="P9" s="99">
        <v>172</v>
      </c>
      <c r="Q9" s="50">
        <f>P9+C9</f>
        <v>194</v>
      </c>
      <c r="R9" s="204"/>
      <c r="S9" s="228"/>
      <c r="T9" s="99">
        <v>185</v>
      </c>
      <c r="U9" s="50">
        <f>T9+C9</f>
        <v>207</v>
      </c>
      <c r="V9" s="204"/>
      <c r="W9" s="228"/>
      <c r="X9" s="47">
        <f t="shared" si="0"/>
        <v>921</v>
      </c>
      <c r="Y9" s="107">
        <f>D9+H9+L9+P9+T9</f>
        <v>811</v>
      </c>
      <c r="Z9" s="68">
        <f>AVERAGE(E9,I9,M9,Q9,U9)</f>
        <v>184.2</v>
      </c>
      <c r="AA9" s="144">
        <f>AVERAGE(E9,I9,M9,Q9,U9)-C9</f>
        <v>162.2</v>
      </c>
      <c r="AB9" s="221"/>
    </row>
    <row r="10" spans="1:28" s="38" customFormat="1" ht="41.25" customHeight="1">
      <c r="A10" s="217" t="s">
        <v>66</v>
      </c>
      <c r="B10" s="218"/>
      <c r="C10" s="149">
        <f>SUM(C11:C13)</f>
        <v>82</v>
      </c>
      <c r="D10" s="62">
        <f>SUM(D11:D13)</f>
        <v>406</v>
      </c>
      <c r="E10" s="45">
        <f>SUM(E11:E13)</f>
        <v>488</v>
      </c>
      <c r="F10" s="45">
        <f>E22</f>
        <v>584</v>
      </c>
      <c r="G10" s="42" t="str">
        <f>A22</f>
        <v>Meistrid&amp; Margarita</v>
      </c>
      <c r="H10" s="62">
        <f>SUM(H11:H13)</f>
        <v>373</v>
      </c>
      <c r="I10" s="45">
        <f>SUM(I11:I13)</f>
        <v>455</v>
      </c>
      <c r="J10" s="45">
        <f>I18</f>
        <v>568</v>
      </c>
      <c r="K10" s="42" t="str">
        <f>A18</f>
        <v>Isokuul</v>
      </c>
      <c r="L10" s="133">
        <f>SUM(L11:L13)</f>
        <v>450</v>
      </c>
      <c r="M10" s="49">
        <f>SUM(M11:M13)</f>
        <v>532</v>
      </c>
      <c r="N10" s="45">
        <f>M14</f>
        <v>546</v>
      </c>
      <c r="O10" s="42" t="str">
        <f>A14</f>
        <v>NOOBEL</v>
      </c>
      <c r="P10" s="45">
        <f>SUM(P11:P13)</f>
        <v>525</v>
      </c>
      <c r="Q10" s="49">
        <f>SUM(Q11:Q13)</f>
        <v>607</v>
      </c>
      <c r="R10" s="45">
        <f>Q26</f>
        <v>507</v>
      </c>
      <c r="S10" s="42" t="str">
        <f>A26</f>
        <v>KUNDA TRANS</v>
      </c>
      <c r="T10" s="133">
        <f>SUM(T11:T13)</f>
        <v>350</v>
      </c>
      <c r="U10" s="49">
        <f>SUM(U11:U13)</f>
        <v>432</v>
      </c>
      <c r="V10" s="45">
        <f>U6</f>
        <v>612</v>
      </c>
      <c r="W10" s="42" t="str">
        <f>A6</f>
        <v>Telfer Grupp</v>
      </c>
      <c r="X10" s="36">
        <f t="shared" si="0"/>
        <v>2514</v>
      </c>
      <c r="Y10" s="105">
        <f>SUM(Y11:Y13)</f>
        <v>2104</v>
      </c>
      <c r="Z10" s="65">
        <f>AVERAGE(Z11,Z12,Z13)</f>
        <v>167.6</v>
      </c>
      <c r="AA10" s="142">
        <f>AVERAGE(AA11,AA12,AA13)</f>
        <v>140.26666666666668</v>
      </c>
      <c r="AB10" s="219">
        <f>F11+J11+N11+R11+V11</f>
        <v>1</v>
      </c>
    </row>
    <row r="11" spans="1:28" s="38" customFormat="1" ht="15.75" customHeight="1">
      <c r="A11" s="222" t="s">
        <v>50</v>
      </c>
      <c r="B11" s="223"/>
      <c r="C11" s="150">
        <v>25</v>
      </c>
      <c r="D11" s="59">
        <v>144</v>
      </c>
      <c r="E11" s="50">
        <f>D11+C11</f>
        <v>169</v>
      </c>
      <c r="F11" s="224">
        <v>0</v>
      </c>
      <c r="G11" s="225"/>
      <c r="H11" s="97">
        <v>163</v>
      </c>
      <c r="I11" s="46">
        <f>H11+C11</f>
        <v>188</v>
      </c>
      <c r="J11" s="224">
        <v>0</v>
      </c>
      <c r="K11" s="225"/>
      <c r="L11" s="97">
        <v>152</v>
      </c>
      <c r="M11" s="50">
        <f>L11+C11</f>
        <v>177</v>
      </c>
      <c r="N11" s="224">
        <v>0</v>
      </c>
      <c r="O11" s="225"/>
      <c r="P11" s="97">
        <v>174</v>
      </c>
      <c r="Q11" s="50">
        <f>P11+C11</f>
        <v>199</v>
      </c>
      <c r="R11" s="224">
        <v>1</v>
      </c>
      <c r="S11" s="225"/>
      <c r="T11" s="97">
        <v>95</v>
      </c>
      <c r="U11" s="50">
        <f>T11+C11</f>
        <v>120</v>
      </c>
      <c r="V11" s="224">
        <v>0</v>
      </c>
      <c r="W11" s="225"/>
      <c r="X11" s="46">
        <f t="shared" si="0"/>
        <v>853</v>
      </c>
      <c r="Y11" s="106">
        <f>D11+H11+L11+P11+T11</f>
        <v>728</v>
      </c>
      <c r="Z11" s="67">
        <f>AVERAGE(E11,I11,M11,Q11,U11)</f>
        <v>170.6</v>
      </c>
      <c r="AA11" s="143">
        <f>AVERAGE(E11,I11,M11,Q11,U11)-C11</f>
        <v>145.6</v>
      </c>
      <c r="AB11" s="220"/>
    </row>
    <row r="12" spans="1:28" s="38" customFormat="1" ht="15.75" customHeight="1">
      <c r="A12" s="222" t="s">
        <v>51</v>
      </c>
      <c r="B12" s="223"/>
      <c r="C12" s="150">
        <v>36</v>
      </c>
      <c r="D12" s="59">
        <v>104</v>
      </c>
      <c r="E12" s="50">
        <f>D12+C12</f>
        <v>140</v>
      </c>
      <c r="F12" s="226"/>
      <c r="G12" s="227"/>
      <c r="H12" s="98">
        <v>119</v>
      </c>
      <c r="I12" s="46">
        <f>H12+C12</f>
        <v>155</v>
      </c>
      <c r="J12" s="226"/>
      <c r="K12" s="227"/>
      <c r="L12" s="98">
        <v>151</v>
      </c>
      <c r="M12" s="50">
        <f>L12+C12</f>
        <v>187</v>
      </c>
      <c r="N12" s="226"/>
      <c r="O12" s="227"/>
      <c r="P12" s="98">
        <v>166</v>
      </c>
      <c r="Q12" s="50">
        <f>P12+C12</f>
        <v>202</v>
      </c>
      <c r="R12" s="226"/>
      <c r="S12" s="227"/>
      <c r="T12" s="98">
        <v>140</v>
      </c>
      <c r="U12" s="50">
        <f>T12+C12</f>
        <v>176</v>
      </c>
      <c r="V12" s="226"/>
      <c r="W12" s="227"/>
      <c r="X12" s="46">
        <f t="shared" si="0"/>
        <v>860</v>
      </c>
      <c r="Y12" s="106">
        <f>D12+H12+L12+P12+T12</f>
        <v>680</v>
      </c>
      <c r="Z12" s="67">
        <f>AVERAGE(E12,I12,M12,Q12,U12)</f>
        <v>172</v>
      </c>
      <c r="AA12" s="143">
        <f>AVERAGE(E12,I12,M12,Q12,U12)-C12</f>
        <v>136</v>
      </c>
      <c r="AB12" s="220"/>
    </row>
    <row r="13" spans="1:28" s="38" customFormat="1" ht="15.75" customHeight="1" thickBot="1">
      <c r="A13" s="229" t="s">
        <v>288</v>
      </c>
      <c r="B13" s="230"/>
      <c r="C13" s="151">
        <v>21</v>
      </c>
      <c r="D13" s="60">
        <v>158</v>
      </c>
      <c r="E13" s="50">
        <f>D13+C13</f>
        <v>179</v>
      </c>
      <c r="F13" s="204"/>
      <c r="G13" s="228"/>
      <c r="H13" s="99">
        <v>91</v>
      </c>
      <c r="I13" s="46">
        <f>H13+C13</f>
        <v>112</v>
      </c>
      <c r="J13" s="204"/>
      <c r="K13" s="228"/>
      <c r="L13" s="99">
        <v>147</v>
      </c>
      <c r="M13" s="50">
        <f>L13+C13</f>
        <v>168</v>
      </c>
      <c r="N13" s="204"/>
      <c r="O13" s="228"/>
      <c r="P13" s="99">
        <v>185</v>
      </c>
      <c r="Q13" s="50">
        <f>P13+C13</f>
        <v>206</v>
      </c>
      <c r="R13" s="204"/>
      <c r="S13" s="228"/>
      <c r="T13" s="99">
        <v>115</v>
      </c>
      <c r="U13" s="50">
        <f>T13+C13</f>
        <v>136</v>
      </c>
      <c r="V13" s="204"/>
      <c r="W13" s="228"/>
      <c r="X13" s="47">
        <f t="shared" si="0"/>
        <v>801</v>
      </c>
      <c r="Y13" s="107">
        <f>D13+H13+L13+P13+T13</f>
        <v>696</v>
      </c>
      <c r="Z13" s="68">
        <f>AVERAGE(E13,I13,M13,Q13,U13)</f>
        <v>160.2</v>
      </c>
      <c r="AA13" s="144">
        <f>AVERAGE(E13,I13,M13,Q13,U13)-C13</f>
        <v>139.2</v>
      </c>
      <c r="AB13" s="221"/>
    </row>
    <row r="14" spans="1:28" s="38" customFormat="1" ht="47.25" customHeight="1">
      <c r="A14" s="217" t="s">
        <v>197</v>
      </c>
      <c r="B14" s="218"/>
      <c r="C14" s="149">
        <f>SUM(C15:C17)</f>
        <v>96</v>
      </c>
      <c r="D14" s="62">
        <f>SUM(D15:D17)</f>
        <v>486</v>
      </c>
      <c r="E14" s="45">
        <f>SUM(E15:E17)</f>
        <v>582</v>
      </c>
      <c r="F14" s="45">
        <f>E18</f>
        <v>603</v>
      </c>
      <c r="G14" s="42" t="str">
        <f>A18</f>
        <v>Isokuul</v>
      </c>
      <c r="H14" s="62">
        <f>SUM(H15:H17)</f>
        <v>472</v>
      </c>
      <c r="I14" s="45">
        <f>SUM(I15:I17)</f>
        <v>568</v>
      </c>
      <c r="J14" s="45">
        <f>I26</f>
        <v>569</v>
      </c>
      <c r="K14" s="42" t="str">
        <f>A26</f>
        <v>KUNDA TRANS</v>
      </c>
      <c r="L14" s="133">
        <f>SUM(L15:L17)</f>
        <v>450</v>
      </c>
      <c r="M14" s="69">
        <f>SUM(M15:M17)</f>
        <v>546</v>
      </c>
      <c r="N14" s="45">
        <f>M10</f>
        <v>532</v>
      </c>
      <c r="O14" s="42" t="str">
        <f>A10</f>
        <v>Fulltrade</v>
      </c>
      <c r="P14" s="45">
        <f>SUM(P15:P17)</f>
        <v>431</v>
      </c>
      <c r="Q14" s="49">
        <f>SUM(Q15:Q17)</f>
        <v>527</v>
      </c>
      <c r="R14" s="45">
        <f>Q6</f>
        <v>617</v>
      </c>
      <c r="S14" s="42" t="str">
        <f>A6</f>
        <v>Telfer Grupp</v>
      </c>
      <c r="T14" s="133">
        <f>SUM(T15:T17)</f>
        <v>485</v>
      </c>
      <c r="U14" s="69">
        <f>SUM(U15:U17)</f>
        <v>581</v>
      </c>
      <c r="V14" s="45">
        <f>U22</f>
        <v>519</v>
      </c>
      <c r="W14" s="42" t="str">
        <f>A22</f>
        <v>Meistrid&amp; Margarita</v>
      </c>
      <c r="X14" s="36">
        <f t="shared" si="0"/>
        <v>2804</v>
      </c>
      <c r="Y14" s="105">
        <f>SUM(Y15:Y17)</f>
        <v>2324</v>
      </c>
      <c r="Z14" s="65">
        <f>AVERAGE(Z15,Z16,Z17)</f>
        <v>186.9333333333333</v>
      </c>
      <c r="AA14" s="142">
        <f>AVERAGE(AA15,AA16,AA17)</f>
        <v>154.9333333333333</v>
      </c>
      <c r="AB14" s="219">
        <f>F15+J15+N15+R15+V15</f>
        <v>2</v>
      </c>
    </row>
    <row r="15" spans="1:28" s="38" customFormat="1" ht="15.75" customHeight="1">
      <c r="A15" s="222" t="s">
        <v>203</v>
      </c>
      <c r="B15" s="223"/>
      <c r="C15" s="150">
        <v>23</v>
      </c>
      <c r="D15" s="59">
        <v>158</v>
      </c>
      <c r="E15" s="50">
        <f>D15+C15</f>
        <v>181</v>
      </c>
      <c r="F15" s="224">
        <v>0</v>
      </c>
      <c r="G15" s="225"/>
      <c r="H15" s="97">
        <v>123</v>
      </c>
      <c r="I15" s="46">
        <f>H15+C15</f>
        <v>146</v>
      </c>
      <c r="J15" s="224">
        <v>0</v>
      </c>
      <c r="K15" s="225"/>
      <c r="L15" s="97">
        <v>150</v>
      </c>
      <c r="M15" s="50">
        <f>L15+C15</f>
        <v>173</v>
      </c>
      <c r="N15" s="224">
        <v>1</v>
      </c>
      <c r="O15" s="225"/>
      <c r="P15" s="97">
        <v>112</v>
      </c>
      <c r="Q15" s="50">
        <f>P15+C15</f>
        <v>135</v>
      </c>
      <c r="R15" s="224">
        <v>0</v>
      </c>
      <c r="S15" s="225"/>
      <c r="T15" s="97">
        <v>158</v>
      </c>
      <c r="U15" s="50">
        <f>T15+C15</f>
        <v>181</v>
      </c>
      <c r="V15" s="224">
        <v>1</v>
      </c>
      <c r="W15" s="225"/>
      <c r="X15" s="46">
        <f t="shared" si="0"/>
        <v>816</v>
      </c>
      <c r="Y15" s="106">
        <f>D15+H15+L15+P15+T15</f>
        <v>701</v>
      </c>
      <c r="Z15" s="67">
        <f>AVERAGE(E15,I15,M15,Q15,U15)</f>
        <v>163.2</v>
      </c>
      <c r="AA15" s="143">
        <f>AVERAGE(E15,I15,M15,Q15,U15)-C15</f>
        <v>140.2</v>
      </c>
      <c r="AB15" s="220"/>
    </row>
    <row r="16" spans="1:28" s="38" customFormat="1" ht="15.75" customHeight="1">
      <c r="A16" s="222" t="s">
        <v>204</v>
      </c>
      <c r="B16" s="223"/>
      <c r="C16" s="150">
        <v>13</v>
      </c>
      <c r="D16" s="59">
        <v>176</v>
      </c>
      <c r="E16" s="50">
        <f>D16+C16</f>
        <v>189</v>
      </c>
      <c r="F16" s="226"/>
      <c r="G16" s="227"/>
      <c r="H16" s="98">
        <v>182</v>
      </c>
      <c r="I16" s="46">
        <f>H16+C16</f>
        <v>195</v>
      </c>
      <c r="J16" s="226"/>
      <c r="K16" s="227"/>
      <c r="L16" s="98">
        <v>154</v>
      </c>
      <c r="M16" s="50">
        <f>L16+C16</f>
        <v>167</v>
      </c>
      <c r="N16" s="226"/>
      <c r="O16" s="227"/>
      <c r="P16" s="98">
        <v>199</v>
      </c>
      <c r="Q16" s="50">
        <f>P16+C16</f>
        <v>212</v>
      </c>
      <c r="R16" s="226"/>
      <c r="S16" s="227"/>
      <c r="T16" s="98">
        <v>175</v>
      </c>
      <c r="U16" s="50">
        <f>T16+C16</f>
        <v>188</v>
      </c>
      <c r="V16" s="226"/>
      <c r="W16" s="227"/>
      <c r="X16" s="46">
        <f t="shared" si="0"/>
        <v>951</v>
      </c>
      <c r="Y16" s="106">
        <f>D16+H16+L16+P16+T16</f>
        <v>886</v>
      </c>
      <c r="Z16" s="67">
        <f>AVERAGE(E16,I16,M16,Q16,U16)</f>
        <v>190.2</v>
      </c>
      <c r="AA16" s="143">
        <f>AVERAGE(E16,I16,M16,Q16,U16)-C16</f>
        <v>177.2</v>
      </c>
      <c r="AB16" s="220"/>
    </row>
    <row r="17" spans="1:28" s="38" customFormat="1" ht="15.75" customHeight="1" thickBot="1">
      <c r="A17" s="229" t="s">
        <v>356</v>
      </c>
      <c r="B17" s="230"/>
      <c r="C17" s="151">
        <v>60</v>
      </c>
      <c r="D17" s="60">
        <v>152</v>
      </c>
      <c r="E17" s="50">
        <f>D17+C17</f>
        <v>212</v>
      </c>
      <c r="F17" s="204"/>
      <c r="G17" s="228"/>
      <c r="H17" s="99">
        <v>167</v>
      </c>
      <c r="I17" s="46">
        <f>H17+C17</f>
        <v>227</v>
      </c>
      <c r="J17" s="204"/>
      <c r="K17" s="228"/>
      <c r="L17" s="99">
        <v>146</v>
      </c>
      <c r="M17" s="50">
        <f>L17+C17</f>
        <v>206</v>
      </c>
      <c r="N17" s="204"/>
      <c r="O17" s="228"/>
      <c r="P17" s="99">
        <v>120</v>
      </c>
      <c r="Q17" s="50">
        <f>P17+C17</f>
        <v>180</v>
      </c>
      <c r="R17" s="204"/>
      <c r="S17" s="228"/>
      <c r="T17" s="99">
        <v>152</v>
      </c>
      <c r="U17" s="50">
        <f>T17+C17</f>
        <v>212</v>
      </c>
      <c r="V17" s="204"/>
      <c r="W17" s="228"/>
      <c r="X17" s="47">
        <f t="shared" si="0"/>
        <v>1037</v>
      </c>
      <c r="Y17" s="107">
        <f>D17+H17+L17+P17+T17</f>
        <v>737</v>
      </c>
      <c r="Z17" s="68">
        <f>AVERAGE(E17,I17,M17,Q17,U17)</f>
        <v>207.4</v>
      </c>
      <c r="AA17" s="144">
        <f>AVERAGE(E17,I17,M17,Q17,U17)-C17</f>
        <v>147.4</v>
      </c>
      <c r="AB17" s="221"/>
    </row>
    <row r="18" spans="1:28" s="38" customFormat="1" ht="39" customHeight="1">
      <c r="A18" s="217" t="s">
        <v>132</v>
      </c>
      <c r="B18" s="218"/>
      <c r="C18" s="149">
        <f>SUM(C19:C21)</f>
        <v>72</v>
      </c>
      <c r="D18" s="62">
        <f>SUM(D19:D21)</f>
        <v>531</v>
      </c>
      <c r="E18" s="45">
        <f>SUM(E19:E21)</f>
        <v>603</v>
      </c>
      <c r="F18" s="45">
        <f>E14</f>
        <v>582</v>
      </c>
      <c r="G18" s="42" t="str">
        <f>A14</f>
        <v>NOOBEL</v>
      </c>
      <c r="H18" s="62">
        <f>SUM(H19:H21)</f>
        <v>496</v>
      </c>
      <c r="I18" s="45">
        <f>SUM(I19:I21)</f>
        <v>568</v>
      </c>
      <c r="J18" s="45">
        <f>I10</f>
        <v>455</v>
      </c>
      <c r="K18" s="42" t="str">
        <f>A10</f>
        <v>Fulltrade</v>
      </c>
      <c r="L18" s="133">
        <f>SUM(L19:L21)</f>
        <v>486</v>
      </c>
      <c r="M18" s="49">
        <f>SUM(M19:M21)</f>
        <v>558</v>
      </c>
      <c r="N18" s="45">
        <f>M6</f>
        <v>612</v>
      </c>
      <c r="O18" s="42" t="str">
        <f>A6</f>
        <v>Telfer Grupp</v>
      </c>
      <c r="P18" s="45">
        <f>SUM(P19:P21)</f>
        <v>576</v>
      </c>
      <c r="Q18" s="49">
        <f>SUM(Q19:Q21)</f>
        <v>648</v>
      </c>
      <c r="R18" s="45">
        <f>Q22</f>
        <v>571</v>
      </c>
      <c r="S18" s="42" t="str">
        <f>A22</f>
        <v>Meistrid&amp; Margarita</v>
      </c>
      <c r="T18" s="133">
        <f>SUM(T19:T21)</f>
        <v>598</v>
      </c>
      <c r="U18" s="49">
        <f>SUM(U19:U21)</f>
        <v>670</v>
      </c>
      <c r="V18" s="45">
        <f>U26</f>
        <v>552</v>
      </c>
      <c r="W18" s="42" t="str">
        <f>A26</f>
        <v>KUNDA TRANS</v>
      </c>
      <c r="X18" s="36">
        <f t="shared" si="0"/>
        <v>3047</v>
      </c>
      <c r="Y18" s="105">
        <f>SUM(Y19:Y21)</f>
        <v>2687</v>
      </c>
      <c r="Z18" s="65">
        <f>AVERAGE(Z19,Z20,Z21)</f>
        <v>203.13333333333335</v>
      </c>
      <c r="AA18" s="142">
        <f>AVERAGE(AA19,AA20,AA21)</f>
        <v>179.13333333333335</v>
      </c>
      <c r="AB18" s="219">
        <f>F19+J19+N19+R19+V19</f>
        <v>4</v>
      </c>
    </row>
    <row r="19" spans="1:28" s="38" customFormat="1" ht="15.75" customHeight="1">
      <c r="A19" s="222" t="s">
        <v>117</v>
      </c>
      <c r="B19" s="223"/>
      <c r="C19" s="150">
        <v>27</v>
      </c>
      <c r="D19" s="59">
        <v>177</v>
      </c>
      <c r="E19" s="50">
        <f>D19+C19</f>
        <v>204</v>
      </c>
      <c r="F19" s="224">
        <v>1</v>
      </c>
      <c r="G19" s="225"/>
      <c r="H19" s="97">
        <v>148</v>
      </c>
      <c r="I19" s="46">
        <f>H19+C19</f>
        <v>175</v>
      </c>
      <c r="J19" s="224">
        <v>1</v>
      </c>
      <c r="K19" s="225"/>
      <c r="L19" s="97">
        <v>179</v>
      </c>
      <c r="M19" s="50">
        <f>L19+C19</f>
        <v>206</v>
      </c>
      <c r="N19" s="224">
        <v>0</v>
      </c>
      <c r="O19" s="225"/>
      <c r="P19" s="97">
        <v>223</v>
      </c>
      <c r="Q19" s="50">
        <f>P19+C19</f>
        <v>250</v>
      </c>
      <c r="R19" s="224">
        <v>1</v>
      </c>
      <c r="S19" s="225"/>
      <c r="T19" s="97">
        <v>224</v>
      </c>
      <c r="U19" s="50">
        <f>T19+C19</f>
        <v>251</v>
      </c>
      <c r="V19" s="224">
        <v>1</v>
      </c>
      <c r="W19" s="225"/>
      <c r="X19" s="46">
        <f t="shared" si="0"/>
        <v>1086</v>
      </c>
      <c r="Y19" s="106">
        <f>D19+H19+L19+P19+T19</f>
        <v>951</v>
      </c>
      <c r="Z19" s="67">
        <f>AVERAGE(E19,I19,M19,Q19,U19)</f>
        <v>217.2</v>
      </c>
      <c r="AA19" s="143">
        <f>AVERAGE(E19,I19,M19,Q19,U19)-C19</f>
        <v>190.2</v>
      </c>
      <c r="AB19" s="220"/>
    </row>
    <row r="20" spans="1:28" s="38" customFormat="1" ht="15.75" customHeight="1">
      <c r="A20" s="222" t="s">
        <v>115</v>
      </c>
      <c r="B20" s="223"/>
      <c r="C20" s="150">
        <v>23</v>
      </c>
      <c r="D20" s="59">
        <v>187</v>
      </c>
      <c r="E20" s="50">
        <f>D20+C20</f>
        <v>210</v>
      </c>
      <c r="F20" s="226"/>
      <c r="G20" s="227"/>
      <c r="H20" s="98">
        <v>160</v>
      </c>
      <c r="I20" s="46">
        <f>H20+C20</f>
        <v>183</v>
      </c>
      <c r="J20" s="226"/>
      <c r="K20" s="227"/>
      <c r="L20" s="98">
        <v>166</v>
      </c>
      <c r="M20" s="50">
        <f>L20+C20</f>
        <v>189</v>
      </c>
      <c r="N20" s="226"/>
      <c r="O20" s="227"/>
      <c r="P20" s="98">
        <v>172</v>
      </c>
      <c r="Q20" s="50">
        <f>P20+C20</f>
        <v>195</v>
      </c>
      <c r="R20" s="226"/>
      <c r="S20" s="227"/>
      <c r="T20" s="98">
        <v>172</v>
      </c>
      <c r="U20" s="50">
        <f>T20+C20</f>
        <v>195</v>
      </c>
      <c r="V20" s="226"/>
      <c r="W20" s="227"/>
      <c r="X20" s="46">
        <f t="shared" si="0"/>
        <v>972</v>
      </c>
      <c r="Y20" s="106">
        <f>D20+H20+L20+P20+T20</f>
        <v>857</v>
      </c>
      <c r="Z20" s="67">
        <f>AVERAGE(E20,I20,M20,Q20,U20)</f>
        <v>194.4</v>
      </c>
      <c r="AA20" s="143">
        <f>AVERAGE(E20,I20,M20,Q20,U20)-C20</f>
        <v>171.4</v>
      </c>
      <c r="AB20" s="220"/>
    </row>
    <row r="21" spans="1:29" s="38" customFormat="1" ht="15.75" customHeight="1" thickBot="1">
      <c r="A21" s="229" t="s">
        <v>289</v>
      </c>
      <c r="B21" s="230"/>
      <c r="C21" s="151">
        <v>22</v>
      </c>
      <c r="D21" s="60">
        <v>167</v>
      </c>
      <c r="E21" s="50">
        <f>D21+C21</f>
        <v>189</v>
      </c>
      <c r="F21" s="204"/>
      <c r="G21" s="228"/>
      <c r="H21" s="99">
        <v>188</v>
      </c>
      <c r="I21" s="46">
        <f>H21+C21</f>
        <v>210</v>
      </c>
      <c r="J21" s="204"/>
      <c r="K21" s="228"/>
      <c r="L21" s="99">
        <v>141</v>
      </c>
      <c r="M21" s="50">
        <f>L21+C21</f>
        <v>163</v>
      </c>
      <c r="N21" s="204"/>
      <c r="O21" s="228"/>
      <c r="P21" s="99">
        <v>181</v>
      </c>
      <c r="Q21" s="50">
        <f>P21+C21</f>
        <v>203</v>
      </c>
      <c r="R21" s="204"/>
      <c r="S21" s="228"/>
      <c r="T21" s="99">
        <v>202</v>
      </c>
      <c r="U21" s="50">
        <f>T21+C21</f>
        <v>224</v>
      </c>
      <c r="V21" s="204"/>
      <c r="W21" s="228"/>
      <c r="X21" s="47">
        <f t="shared" si="0"/>
        <v>989</v>
      </c>
      <c r="Y21" s="107">
        <f>D21+H21+L21+P21+T21</f>
        <v>879</v>
      </c>
      <c r="Z21" s="68">
        <f>AVERAGE(E21,I21,M21,Q21,U21)</f>
        <v>197.8</v>
      </c>
      <c r="AA21" s="144">
        <f>AVERAGE(E21,I21,M21,Q21,U21)-C21</f>
        <v>175.8</v>
      </c>
      <c r="AB21" s="221"/>
      <c r="AC21" s="44"/>
    </row>
    <row r="22" spans="1:28" s="38" customFormat="1" ht="53.25" customHeight="1">
      <c r="A22" s="217" t="s">
        <v>79</v>
      </c>
      <c r="B22" s="218"/>
      <c r="C22" s="149">
        <f>SUM(C23:C25)</f>
        <v>67</v>
      </c>
      <c r="D22" s="62">
        <f>SUM(D23:D25)</f>
        <v>517</v>
      </c>
      <c r="E22" s="45">
        <f>SUM(E23:E25)</f>
        <v>584</v>
      </c>
      <c r="F22" s="45">
        <f>E10</f>
        <v>488</v>
      </c>
      <c r="G22" s="42" t="str">
        <f>A10</f>
        <v>Fulltrade</v>
      </c>
      <c r="H22" s="62">
        <f>SUM(H23:H25)</f>
        <v>491</v>
      </c>
      <c r="I22" s="45">
        <f>SUM(I23:I25)</f>
        <v>558</v>
      </c>
      <c r="J22" s="45">
        <f>I6</f>
        <v>504</v>
      </c>
      <c r="K22" s="42" t="str">
        <f>A6</f>
        <v>Telfer Grupp</v>
      </c>
      <c r="L22" s="133">
        <f>SUM(L23:L25)</f>
        <v>455</v>
      </c>
      <c r="M22" s="69">
        <f>SUM(M23:M25)</f>
        <v>522</v>
      </c>
      <c r="N22" s="45">
        <f>M26</f>
        <v>588</v>
      </c>
      <c r="O22" s="42" t="str">
        <f>A26</f>
        <v>KUNDA TRANS</v>
      </c>
      <c r="P22" s="45">
        <f>SUM(P23:P25)</f>
        <v>504</v>
      </c>
      <c r="Q22" s="69">
        <f>SUM(Q23:Q25)</f>
        <v>571</v>
      </c>
      <c r="R22" s="45">
        <f>Q18</f>
        <v>648</v>
      </c>
      <c r="S22" s="42" t="str">
        <f>A18</f>
        <v>Isokuul</v>
      </c>
      <c r="T22" s="133">
        <f>SUM(T23:T25)</f>
        <v>452</v>
      </c>
      <c r="U22" s="69">
        <f>SUM(U23:U25)</f>
        <v>519</v>
      </c>
      <c r="V22" s="45">
        <f>U14</f>
        <v>581</v>
      </c>
      <c r="W22" s="42" t="str">
        <f>A14</f>
        <v>NOOBEL</v>
      </c>
      <c r="X22" s="36">
        <f t="shared" si="0"/>
        <v>2754</v>
      </c>
      <c r="Y22" s="105">
        <f>SUM(Y23:Y25)</f>
        <v>2419</v>
      </c>
      <c r="Z22" s="65">
        <f>AVERAGE(Z23,Z24,Z25)</f>
        <v>183.6</v>
      </c>
      <c r="AA22" s="142">
        <f>AVERAGE(AA23,AA24,AA25)</f>
        <v>161.26666666666668</v>
      </c>
      <c r="AB22" s="219">
        <f>F23+J23+N23+R23+V23</f>
        <v>2</v>
      </c>
    </row>
    <row r="23" spans="1:28" s="38" customFormat="1" ht="15.75" customHeight="1">
      <c r="A23" s="222" t="s">
        <v>87</v>
      </c>
      <c r="B23" s="223"/>
      <c r="C23" s="150">
        <v>22</v>
      </c>
      <c r="D23" s="59">
        <v>179</v>
      </c>
      <c r="E23" s="50">
        <f>D23+C23</f>
        <v>201</v>
      </c>
      <c r="F23" s="224">
        <v>1</v>
      </c>
      <c r="G23" s="225"/>
      <c r="H23" s="97">
        <v>173</v>
      </c>
      <c r="I23" s="46">
        <f>H23+C23</f>
        <v>195</v>
      </c>
      <c r="J23" s="224">
        <v>1</v>
      </c>
      <c r="K23" s="225"/>
      <c r="L23" s="97">
        <v>148</v>
      </c>
      <c r="M23" s="50">
        <f>L23+C23</f>
        <v>170</v>
      </c>
      <c r="N23" s="224">
        <v>0</v>
      </c>
      <c r="O23" s="225"/>
      <c r="P23" s="97">
        <v>164</v>
      </c>
      <c r="Q23" s="50">
        <f>P23+C23</f>
        <v>186</v>
      </c>
      <c r="R23" s="224">
        <v>0</v>
      </c>
      <c r="S23" s="225"/>
      <c r="T23" s="97">
        <v>158</v>
      </c>
      <c r="U23" s="50">
        <f>T23+C23</f>
        <v>180</v>
      </c>
      <c r="V23" s="224">
        <v>0</v>
      </c>
      <c r="W23" s="225"/>
      <c r="X23" s="46">
        <f t="shared" si="0"/>
        <v>932</v>
      </c>
      <c r="Y23" s="106">
        <f>D23+H23+L23+P23+T23</f>
        <v>822</v>
      </c>
      <c r="Z23" s="67">
        <f>AVERAGE(E23,I23,M23,Q23,U23)</f>
        <v>186.4</v>
      </c>
      <c r="AA23" s="143">
        <f>AVERAGE(E23,I23,M23,Q23,U23)-C23</f>
        <v>164.4</v>
      </c>
      <c r="AB23" s="220"/>
    </row>
    <row r="24" spans="1:28" s="38" customFormat="1" ht="15.75" customHeight="1">
      <c r="A24" s="222" t="s">
        <v>88</v>
      </c>
      <c r="B24" s="223"/>
      <c r="C24" s="150">
        <v>28</v>
      </c>
      <c r="D24" s="59">
        <v>156</v>
      </c>
      <c r="E24" s="50">
        <f>D24+C24</f>
        <v>184</v>
      </c>
      <c r="F24" s="226"/>
      <c r="G24" s="227"/>
      <c r="H24" s="98">
        <v>165</v>
      </c>
      <c r="I24" s="46">
        <f>H24+C24</f>
        <v>193</v>
      </c>
      <c r="J24" s="226"/>
      <c r="K24" s="227"/>
      <c r="L24" s="98">
        <v>150</v>
      </c>
      <c r="M24" s="50">
        <f>L24+C24</f>
        <v>178</v>
      </c>
      <c r="N24" s="226"/>
      <c r="O24" s="227"/>
      <c r="P24" s="98">
        <v>157</v>
      </c>
      <c r="Q24" s="50">
        <f>P24+C24</f>
        <v>185</v>
      </c>
      <c r="R24" s="226"/>
      <c r="S24" s="227"/>
      <c r="T24" s="98">
        <v>149</v>
      </c>
      <c r="U24" s="50">
        <f>T24+C24</f>
        <v>177</v>
      </c>
      <c r="V24" s="226"/>
      <c r="W24" s="227"/>
      <c r="X24" s="46">
        <f t="shared" si="0"/>
        <v>917</v>
      </c>
      <c r="Y24" s="106">
        <f>D24+H24+L24+P24+T24</f>
        <v>777</v>
      </c>
      <c r="Z24" s="67">
        <f>AVERAGE(E24,I24,M24,Q24,U24)</f>
        <v>183.4</v>
      </c>
      <c r="AA24" s="143">
        <f>AVERAGE(E24,I24,M24,Q24,U24)-C24</f>
        <v>155.4</v>
      </c>
      <c r="AB24" s="220"/>
    </row>
    <row r="25" spans="1:28" s="38" customFormat="1" ht="15.75" customHeight="1" thickBot="1">
      <c r="A25" s="229" t="s">
        <v>89</v>
      </c>
      <c r="B25" s="230"/>
      <c r="C25" s="151">
        <v>17</v>
      </c>
      <c r="D25" s="60">
        <v>182</v>
      </c>
      <c r="E25" s="50">
        <f>D25+C25</f>
        <v>199</v>
      </c>
      <c r="F25" s="204"/>
      <c r="G25" s="228"/>
      <c r="H25" s="99">
        <v>153</v>
      </c>
      <c r="I25" s="46">
        <f>H25+C25</f>
        <v>170</v>
      </c>
      <c r="J25" s="204"/>
      <c r="K25" s="228"/>
      <c r="L25" s="99">
        <v>157</v>
      </c>
      <c r="M25" s="50">
        <f>L25+C25</f>
        <v>174</v>
      </c>
      <c r="N25" s="204"/>
      <c r="O25" s="228"/>
      <c r="P25" s="99">
        <v>183</v>
      </c>
      <c r="Q25" s="50">
        <f>P25+C25</f>
        <v>200</v>
      </c>
      <c r="R25" s="204"/>
      <c r="S25" s="228"/>
      <c r="T25" s="99">
        <v>145</v>
      </c>
      <c r="U25" s="50">
        <f>T25+C25</f>
        <v>162</v>
      </c>
      <c r="V25" s="204"/>
      <c r="W25" s="228"/>
      <c r="X25" s="47">
        <f t="shared" si="0"/>
        <v>905</v>
      </c>
      <c r="Y25" s="107">
        <f>D25+H25+L25+P25+T25</f>
        <v>820</v>
      </c>
      <c r="Z25" s="68">
        <f>AVERAGE(E25,I25,M25,Q25,U25)</f>
        <v>181</v>
      </c>
      <c r="AA25" s="144">
        <f>AVERAGE(E25,I25,M25,Q25,U25)-C25</f>
        <v>164</v>
      </c>
      <c r="AB25" s="221"/>
    </row>
    <row r="26" spans="1:28" s="38" customFormat="1" ht="42" customHeight="1">
      <c r="A26" s="217" t="s">
        <v>200</v>
      </c>
      <c r="B26" s="218"/>
      <c r="C26" s="149">
        <f>SUM(C27:C29)</f>
        <v>105</v>
      </c>
      <c r="D26" s="62">
        <f>SUM(D27:D29)</f>
        <v>439</v>
      </c>
      <c r="E26" s="45">
        <f>SUM(E27:E29)</f>
        <v>544</v>
      </c>
      <c r="F26" s="45">
        <f>E6</f>
        <v>525</v>
      </c>
      <c r="G26" s="42" t="str">
        <f>A6</f>
        <v>Telfer Grupp</v>
      </c>
      <c r="H26" s="62">
        <f>SUM(H27:H29)</f>
        <v>464</v>
      </c>
      <c r="I26" s="45">
        <f>SUM(I27:I29)</f>
        <v>569</v>
      </c>
      <c r="J26" s="45">
        <f>I14</f>
        <v>568</v>
      </c>
      <c r="K26" s="42" t="str">
        <f>A14</f>
        <v>NOOBEL</v>
      </c>
      <c r="L26" s="133">
        <f>SUM(L27:L29)</f>
        <v>483</v>
      </c>
      <c r="M26" s="49">
        <f>SUM(M27:M29)</f>
        <v>588</v>
      </c>
      <c r="N26" s="45">
        <f>M22</f>
        <v>522</v>
      </c>
      <c r="O26" s="42" t="str">
        <f>A22</f>
        <v>Meistrid&amp; Margarita</v>
      </c>
      <c r="P26" s="45">
        <f>SUM(P27:P29)</f>
        <v>402</v>
      </c>
      <c r="Q26" s="49">
        <f>SUM(Q27:Q29)</f>
        <v>507</v>
      </c>
      <c r="R26" s="45">
        <f>Q10</f>
        <v>607</v>
      </c>
      <c r="S26" s="42" t="str">
        <f>A10</f>
        <v>Fulltrade</v>
      </c>
      <c r="T26" s="133">
        <f>SUM(T27:T29)</f>
        <v>447</v>
      </c>
      <c r="U26" s="49">
        <f>SUM(U27:U29)</f>
        <v>552</v>
      </c>
      <c r="V26" s="45">
        <f>U18</f>
        <v>670</v>
      </c>
      <c r="W26" s="42" t="str">
        <f>A18</f>
        <v>Isokuul</v>
      </c>
      <c r="X26" s="36">
        <f t="shared" si="0"/>
        <v>2760</v>
      </c>
      <c r="Y26" s="105">
        <f>SUM(Y27:Y29)</f>
        <v>2235</v>
      </c>
      <c r="Z26" s="65">
        <f>AVERAGE(Z27,Z28,Z29)</f>
        <v>184</v>
      </c>
      <c r="AA26" s="142">
        <f>AVERAGE(AA27,AA28,AA29)</f>
        <v>149</v>
      </c>
      <c r="AB26" s="219">
        <f>F27+J27+N27+R27+V27</f>
        <v>3</v>
      </c>
    </row>
    <row r="27" spans="1:28" s="38" customFormat="1" ht="15.75" customHeight="1">
      <c r="A27" s="222" t="s">
        <v>215</v>
      </c>
      <c r="B27" s="223"/>
      <c r="C27" s="150">
        <v>13</v>
      </c>
      <c r="D27" s="59">
        <v>172</v>
      </c>
      <c r="E27" s="50">
        <f>D27+C27</f>
        <v>185</v>
      </c>
      <c r="F27" s="224">
        <v>1</v>
      </c>
      <c r="G27" s="225"/>
      <c r="H27" s="97">
        <v>198</v>
      </c>
      <c r="I27" s="46">
        <f>H27+C27</f>
        <v>211</v>
      </c>
      <c r="J27" s="224">
        <v>1</v>
      </c>
      <c r="K27" s="225"/>
      <c r="L27" s="97">
        <v>193</v>
      </c>
      <c r="M27" s="50">
        <f>L27+C27</f>
        <v>206</v>
      </c>
      <c r="N27" s="224">
        <v>1</v>
      </c>
      <c r="O27" s="225"/>
      <c r="P27" s="97">
        <v>149</v>
      </c>
      <c r="Q27" s="50">
        <f>P27+C27</f>
        <v>162</v>
      </c>
      <c r="R27" s="224">
        <v>0</v>
      </c>
      <c r="S27" s="225"/>
      <c r="T27" s="97">
        <v>175</v>
      </c>
      <c r="U27" s="50">
        <f>T27+C27</f>
        <v>188</v>
      </c>
      <c r="V27" s="224">
        <v>0</v>
      </c>
      <c r="W27" s="225"/>
      <c r="X27" s="46">
        <f t="shared" si="0"/>
        <v>952</v>
      </c>
      <c r="Y27" s="106">
        <f>D27+H27+L27+P27+T27</f>
        <v>887</v>
      </c>
      <c r="Z27" s="67">
        <f>AVERAGE(E27,I27,M27,Q27,U27)</f>
        <v>190.4</v>
      </c>
      <c r="AA27" s="143">
        <f>AVERAGE(E27,I27,M27,Q27,U27)-C27</f>
        <v>177.4</v>
      </c>
      <c r="AB27" s="220"/>
    </row>
    <row r="28" spans="1:28" s="38" customFormat="1" ht="15.75" customHeight="1">
      <c r="A28" s="222" t="s">
        <v>216</v>
      </c>
      <c r="B28" s="223"/>
      <c r="C28" s="150">
        <v>32</v>
      </c>
      <c r="D28" s="59">
        <v>168</v>
      </c>
      <c r="E28" s="50">
        <f>D28+C28</f>
        <v>200</v>
      </c>
      <c r="F28" s="226"/>
      <c r="G28" s="227"/>
      <c r="H28" s="98">
        <v>143</v>
      </c>
      <c r="I28" s="46">
        <f>H28+C28</f>
        <v>175</v>
      </c>
      <c r="J28" s="226"/>
      <c r="K28" s="227"/>
      <c r="L28" s="98">
        <v>179</v>
      </c>
      <c r="M28" s="50">
        <f>L28+C28</f>
        <v>211</v>
      </c>
      <c r="N28" s="226"/>
      <c r="O28" s="227"/>
      <c r="P28" s="98">
        <v>124</v>
      </c>
      <c r="Q28" s="50">
        <f>P28+C28</f>
        <v>156</v>
      </c>
      <c r="R28" s="226"/>
      <c r="S28" s="227"/>
      <c r="T28" s="98">
        <v>153</v>
      </c>
      <c r="U28" s="50">
        <f>T28+C28</f>
        <v>185</v>
      </c>
      <c r="V28" s="226"/>
      <c r="W28" s="227"/>
      <c r="X28" s="46">
        <f t="shared" si="0"/>
        <v>927</v>
      </c>
      <c r="Y28" s="106">
        <f>D28+H28+L28+P28+T28</f>
        <v>767</v>
      </c>
      <c r="Z28" s="67">
        <f>AVERAGE(E28,I28,M28,Q28,U28)</f>
        <v>185.4</v>
      </c>
      <c r="AA28" s="143">
        <f>AVERAGE(E28,I28,M28,Q28,U28)-C28</f>
        <v>153.4</v>
      </c>
      <c r="AB28" s="220"/>
    </row>
    <row r="29" spans="1:28" s="38" customFormat="1" ht="15.75" customHeight="1" thickBot="1">
      <c r="A29" s="229" t="s">
        <v>357</v>
      </c>
      <c r="B29" s="230"/>
      <c r="C29" s="151">
        <v>60</v>
      </c>
      <c r="D29" s="60">
        <v>99</v>
      </c>
      <c r="E29" s="50">
        <f>D29+C29</f>
        <v>159</v>
      </c>
      <c r="F29" s="204"/>
      <c r="G29" s="228"/>
      <c r="H29" s="99">
        <v>123</v>
      </c>
      <c r="I29" s="46">
        <f>H29+C29</f>
        <v>183</v>
      </c>
      <c r="J29" s="204"/>
      <c r="K29" s="228"/>
      <c r="L29" s="99">
        <v>111</v>
      </c>
      <c r="M29" s="50">
        <f>L29+C29</f>
        <v>171</v>
      </c>
      <c r="N29" s="204"/>
      <c r="O29" s="228"/>
      <c r="P29" s="99">
        <v>129</v>
      </c>
      <c r="Q29" s="50">
        <f>P29+C29</f>
        <v>189</v>
      </c>
      <c r="R29" s="204"/>
      <c r="S29" s="228"/>
      <c r="T29" s="99">
        <v>119</v>
      </c>
      <c r="U29" s="50">
        <f>T29+C29</f>
        <v>179</v>
      </c>
      <c r="V29" s="204"/>
      <c r="W29" s="228"/>
      <c r="X29" s="47">
        <f t="shared" si="0"/>
        <v>881</v>
      </c>
      <c r="Y29" s="107">
        <f>D29+H29+L29+P29+T29</f>
        <v>581</v>
      </c>
      <c r="Z29" s="68">
        <f>AVERAGE(E29,I29,M29,Q29,U29)</f>
        <v>176.2</v>
      </c>
      <c r="AA29" s="144">
        <f>AVERAGE(E29,I29,M29,Q29,U29)-C29</f>
        <v>116.19999999999999</v>
      </c>
      <c r="AB29" s="221"/>
    </row>
    <row r="30" spans="1:28" s="40" customFormat="1" ht="15.75" customHeight="1">
      <c r="A30" s="207" t="s">
        <v>352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4"/>
      <c r="W30" s="25"/>
      <c r="Y30" s="57"/>
      <c r="Z30" s="41"/>
      <c r="AA30" s="139"/>
      <c r="AB30" s="25"/>
    </row>
    <row r="31" spans="1:28" s="40" customFormat="1" ht="6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4"/>
      <c r="W31" s="25"/>
      <c r="Y31" s="57"/>
      <c r="Z31" s="41"/>
      <c r="AA31" s="139"/>
      <c r="AB31" s="25"/>
    </row>
    <row r="32" spans="1:28" s="40" customFormat="1" ht="23.2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5"/>
      <c r="W32" s="25"/>
      <c r="Y32" s="57"/>
      <c r="Z32" s="41"/>
      <c r="AA32" s="139"/>
      <c r="AB32" s="25"/>
    </row>
    <row r="33" spans="1:28" s="31" customFormat="1" ht="15.75" customHeight="1">
      <c r="A33" s="209" t="s">
        <v>0</v>
      </c>
      <c r="B33" s="210"/>
      <c r="C33" s="147" t="s">
        <v>39</v>
      </c>
      <c r="D33" s="55"/>
      <c r="E33" s="27" t="s">
        <v>1</v>
      </c>
      <c r="F33" s="211" t="s">
        <v>2</v>
      </c>
      <c r="G33" s="212"/>
      <c r="H33" s="94"/>
      <c r="I33" s="27" t="s">
        <v>3</v>
      </c>
      <c r="J33" s="211" t="s">
        <v>2</v>
      </c>
      <c r="K33" s="212"/>
      <c r="L33" s="94"/>
      <c r="M33" s="27" t="s">
        <v>4</v>
      </c>
      <c r="N33" s="211" t="s">
        <v>2</v>
      </c>
      <c r="O33" s="212"/>
      <c r="P33" s="94"/>
      <c r="Q33" s="27" t="s">
        <v>5</v>
      </c>
      <c r="R33" s="211" t="s">
        <v>2</v>
      </c>
      <c r="S33" s="212"/>
      <c r="T33" s="94"/>
      <c r="U33" s="27" t="s">
        <v>6</v>
      </c>
      <c r="V33" s="211" t="s">
        <v>2</v>
      </c>
      <c r="W33" s="212"/>
      <c r="X33" s="28" t="s">
        <v>7</v>
      </c>
      <c r="Y33" s="104"/>
      <c r="Z33" s="29" t="s">
        <v>40</v>
      </c>
      <c r="AA33" s="140" t="s">
        <v>42</v>
      </c>
      <c r="AB33" s="30" t="s">
        <v>7</v>
      </c>
    </row>
    <row r="34" spans="1:28" s="31" customFormat="1" ht="15.75" customHeight="1" thickBot="1">
      <c r="A34" s="213" t="s">
        <v>9</v>
      </c>
      <c r="B34" s="214"/>
      <c r="C34" s="148"/>
      <c r="D34" s="56"/>
      <c r="E34" s="32" t="s">
        <v>10</v>
      </c>
      <c r="F34" s="211" t="s">
        <v>11</v>
      </c>
      <c r="G34" s="212"/>
      <c r="H34" s="95"/>
      <c r="I34" s="32" t="s">
        <v>10</v>
      </c>
      <c r="J34" s="215" t="s">
        <v>11</v>
      </c>
      <c r="K34" s="216"/>
      <c r="L34" s="95"/>
      <c r="M34" s="32" t="s">
        <v>10</v>
      </c>
      <c r="N34" s="215" t="s">
        <v>11</v>
      </c>
      <c r="O34" s="216"/>
      <c r="P34" s="95"/>
      <c r="Q34" s="32" t="s">
        <v>10</v>
      </c>
      <c r="R34" s="215" t="s">
        <v>11</v>
      </c>
      <c r="S34" s="216"/>
      <c r="T34" s="95"/>
      <c r="U34" s="32" t="s">
        <v>10</v>
      </c>
      <c r="V34" s="215" t="s">
        <v>11</v>
      </c>
      <c r="W34" s="216"/>
      <c r="X34" s="33" t="s">
        <v>10</v>
      </c>
      <c r="Y34" s="134" t="s">
        <v>287</v>
      </c>
      <c r="Z34" s="34" t="s">
        <v>41</v>
      </c>
      <c r="AA34" s="141" t="s">
        <v>43</v>
      </c>
      <c r="AB34" s="35" t="s">
        <v>12</v>
      </c>
    </row>
    <row r="35" spans="1:28" s="38" customFormat="1" ht="42" customHeight="1">
      <c r="A35" s="217" t="s">
        <v>105</v>
      </c>
      <c r="B35" s="218"/>
      <c r="C35" s="149">
        <f>SUM(C36:C38)</f>
        <v>86</v>
      </c>
      <c r="D35" s="62">
        <f>SUM(D36:D38)</f>
        <v>427</v>
      </c>
      <c r="E35" s="63">
        <f>SUM(E36:E38)</f>
        <v>513</v>
      </c>
      <c r="F35" s="46">
        <f>E55</f>
        <v>550</v>
      </c>
      <c r="G35" s="64" t="str">
        <f>A55</f>
        <v>LATER</v>
      </c>
      <c r="H35" s="62">
        <f>SUM(H36:H38)</f>
        <v>481</v>
      </c>
      <c r="I35" s="49">
        <f>SUM(I36:I38)</f>
        <v>567</v>
      </c>
      <c r="J35" s="49">
        <f>I51</f>
        <v>530</v>
      </c>
      <c r="K35" s="42" t="str">
        <f>A51</f>
        <v>AKAT 1</v>
      </c>
      <c r="L35" s="58">
        <f>SUM(L36:L38)</f>
        <v>490</v>
      </c>
      <c r="M35" s="45">
        <f>SUM(M36:M38)</f>
        <v>576</v>
      </c>
      <c r="N35" s="45">
        <f>M47</f>
        <v>566</v>
      </c>
      <c r="O35" s="42" t="str">
        <f>A47</f>
        <v>LAJOS 1</v>
      </c>
      <c r="P35" s="45">
        <f>SUM(P36:P38)</f>
        <v>480</v>
      </c>
      <c r="Q35" s="45">
        <f>SUM(Q36:Q38)</f>
        <v>566</v>
      </c>
      <c r="R35" s="45">
        <f>Q43</f>
        <v>519</v>
      </c>
      <c r="S35" s="42" t="str">
        <f>A43</f>
        <v>PLANRAY</v>
      </c>
      <c r="T35" s="133">
        <f>SUM(T36:T38)</f>
        <v>456</v>
      </c>
      <c r="U35" s="45">
        <f>SUM(U36:U38)</f>
        <v>542</v>
      </c>
      <c r="V35" s="45">
        <f>U39</f>
        <v>560</v>
      </c>
      <c r="W35" s="42" t="str">
        <f>A39</f>
        <v>Wiru Auto</v>
      </c>
      <c r="X35" s="36">
        <f aca="true" t="shared" si="1" ref="X35:X58">E35+I35+M35+Q35+U35</f>
        <v>2764</v>
      </c>
      <c r="Y35" s="105">
        <f>SUM(Y36:Y38)</f>
        <v>2334</v>
      </c>
      <c r="Z35" s="37">
        <f>AVERAGE(Z36,Z37,Z38)</f>
        <v>184.26666666666665</v>
      </c>
      <c r="AA35" s="142">
        <f>AVERAGE(AA36,AA37,AA38)</f>
        <v>155.6</v>
      </c>
      <c r="AB35" s="219">
        <f>F36+J36+N36+R36+V36</f>
        <v>3</v>
      </c>
    </row>
    <row r="36" spans="1:28" s="38" customFormat="1" ht="15.75" customHeight="1">
      <c r="A36" s="222" t="s">
        <v>112</v>
      </c>
      <c r="B36" s="223"/>
      <c r="C36" s="150">
        <v>28</v>
      </c>
      <c r="D36" s="59">
        <v>157</v>
      </c>
      <c r="E36" s="50">
        <f>D36+C36</f>
        <v>185</v>
      </c>
      <c r="F36" s="224">
        <v>0</v>
      </c>
      <c r="G36" s="225"/>
      <c r="H36" s="97">
        <v>157</v>
      </c>
      <c r="I36" s="46">
        <f>H36+C36</f>
        <v>185</v>
      </c>
      <c r="J36" s="224">
        <v>1</v>
      </c>
      <c r="K36" s="225"/>
      <c r="L36" s="97">
        <v>177</v>
      </c>
      <c r="M36" s="50">
        <f>L36+C36</f>
        <v>205</v>
      </c>
      <c r="N36" s="224">
        <v>1</v>
      </c>
      <c r="O36" s="225"/>
      <c r="P36" s="97">
        <v>175</v>
      </c>
      <c r="Q36" s="50">
        <f>P36+C36</f>
        <v>203</v>
      </c>
      <c r="R36" s="224">
        <v>1</v>
      </c>
      <c r="S36" s="225"/>
      <c r="T36" s="97">
        <v>132</v>
      </c>
      <c r="U36" s="50">
        <f>T36+C36</f>
        <v>160</v>
      </c>
      <c r="V36" s="224">
        <v>0</v>
      </c>
      <c r="W36" s="225"/>
      <c r="X36" s="46">
        <f t="shared" si="1"/>
        <v>938</v>
      </c>
      <c r="Y36" s="106">
        <f>D36+H36+L36+P36+T36</f>
        <v>798</v>
      </c>
      <c r="Z36" s="67">
        <f>AVERAGE(E36,I36,M36,Q36,U36)</f>
        <v>187.6</v>
      </c>
      <c r="AA36" s="143">
        <f>AVERAGE(E36,I36,M36,Q36,U36)-C36</f>
        <v>159.6</v>
      </c>
      <c r="AB36" s="220"/>
    </row>
    <row r="37" spans="1:28" s="38" customFormat="1" ht="15.75" customHeight="1">
      <c r="A37" s="222" t="s">
        <v>113</v>
      </c>
      <c r="B37" s="223"/>
      <c r="C37" s="150">
        <v>29</v>
      </c>
      <c r="D37" s="59">
        <v>125</v>
      </c>
      <c r="E37" s="50">
        <f>D37+C37</f>
        <v>154</v>
      </c>
      <c r="F37" s="226"/>
      <c r="G37" s="227"/>
      <c r="H37" s="98">
        <v>160</v>
      </c>
      <c r="I37" s="46">
        <f>H37+C37</f>
        <v>189</v>
      </c>
      <c r="J37" s="226"/>
      <c r="K37" s="227"/>
      <c r="L37" s="98">
        <v>135</v>
      </c>
      <c r="M37" s="50">
        <f>L37+C37</f>
        <v>164</v>
      </c>
      <c r="N37" s="226"/>
      <c r="O37" s="227"/>
      <c r="P37" s="98">
        <v>123</v>
      </c>
      <c r="Q37" s="50">
        <f>P37+C37</f>
        <v>152</v>
      </c>
      <c r="R37" s="226"/>
      <c r="S37" s="227"/>
      <c r="T37" s="98">
        <v>173</v>
      </c>
      <c r="U37" s="50">
        <f>T37+C37</f>
        <v>202</v>
      </c>
      <c r="V37" s="226"/>
      <c r="W37" s="227"/>
      <c r="X37" s="46">
        <f t="shared" si="1"/>
        <v>861</v>
      </c>
      <c r="Y37" s="106">
        <f>D37+H37+L37+P37+T37</f>
        <v>716</v>
      </c>
      <c r="Z37" s="67">
        <f>AVERAGE(E37,I37,M37,Q37,U37)</f>
        <v>172.2</v>
      </c>
      <c r="AA37" s="143">
        <f>AVERAGE(E37,I37,M37,Q37,U37)-C37</f>
        <v>143.2</v>
      </c>
      <c r="AB37" s="220"/>
    </row>
    <row r="38" spans="1:28" s="38" customFormat="1" ht="16.5" customHeight="1" thickBot="1">
      <c r="A38" s="229" t="s">
        <v>114</v>
      </c>
      <c r="B38" s="230"/>
      <c r="C38" s="151">
        <v>29</v>
      </c>
      <c r="D38" s="60">
        <v>145</v>
      </c>
      <c r="E38" s="50">
        <f>D38+C38</f>
        <v>174</v>
      </c>
      <c r="F38" s="204"/>
      <c r="G38" s="228"/>
      <c r="H38" s="99">
        <v>164</v>
      </c>
      <c r="I38" s="46">
        <f>H38+C38</f>
        <v>193</v>
      </c>
      <c r="J38" s="204"/>
      <c r="K38" s="228"/>
      <c r="L38" s="99">
        <v>178</v>
      </c>
      <c r="M38" s="50">
        <f>L38+C38</f>
        <v>207</v>
      </c>
      <c r="N38" s="204"/>
      <c r="O38" s="228"/>
      <c r="P38" s="99">
        <v>182</v>
      </c>
      <c r="Q38" s="50">
        <f>P38+C38</f>
        <v>211</v>
      </c>
      <c r="R38" s="204"/>
      <c r="S38" s="228"/>
      <c r="T38" s="99">
        <v>151</v>
      </c>
      <c r="U38" s="50">
        <f>T38+C38</f>
        <v>180</v>
      </c>
      <c r="V38" s="204"/>
      <c r="W38" s="228"/>
      <c r="X38" s="47">
        <f t="shared" si="1"/>
        <v>965</v>
      </c>
      <c r="Y38" s="107">
        <f>D38+H38+L38+P38+T38</f>
        <v>820</v>
      </c>
      <c r="Z38" s="68">
        <f>AVERAGE(E38,I38,M38,Q38,U38)</f>
        <v>193</v>
      </c>
      <c r="AA38" s="144">
        <f>AVERAGE(E38,I38,M38,Q38,U38)-C38</f>
        <v>164</v>
      </c>
      <c r="AB38" s="221"/>
    </row>
    <row r="39" spans="1:28" s="38" customFormat="1" ht="42" customHeight="1">
      <c r="A39" s="217" t="s">
        <v>162</v>
      </c>
      <c r="B39" s="218"/>
      <c r="C39" s="149">
        <f>SUM(C40:C42)</f>
        <v>137</v>
      </c>
      <c r="D39" s="62">
        <f>SUM(D40:D42)</f>
        <v>363</v>
      </c>
      <c r="E39" s="45">
        <f>SUM(E40:E42)</f>
        <v>500</v>
      </c>
      <c r="F39" s="45">
        <f>E51</f>
        <v>524</v>
      </c>
      <c r="G39" s="42" t="str">
        <f>A51</f>
        <v>AKAT 1</v>
      </c>
      <c r="H39" s="62">
        <f>SUM(H40:H42)</f>
        <v>405</v>
      </c>
      <c r="I39" s="45">
        <f>SUM(I40:I42)</f>
        <v>542</v>
      </c>
      <c r="J39" s="45">
        <f>I47</f>
        <v>533</v>
      </c>
      <c r="K39" s="42" t="str">
        <f>A47</f>
        <v>LAJOS 1</v>
      </c>
      <c r="L39" s="133">
        <f>SUM(L40:L42)</f>
        <v>384</v>
      </c>
      <c r="M39" s="49">
        <f>SUM(M40:M42)</f>
        <v>521</v>
      </c>
      <c r="N39" s="45">
        <f>M43</f>
        <v>531</v>
      </c>
      <c r="O39" s="42" t="str">
        <f>A43</f>
        <v>PLANRAY</v>
      </c>
      <c r="P39" s="45">
        <f>SUM(P40:P42)</f>
        <v>372</v>
      </c>
      <c r="Q39" s="49">
        <f>SUM(Q40:Q42)</f>
        <v>509</v>
      </c>
      <c r="R39" s="45">
        <f>Q55</f>
        <v>589</v>
      </c>
      <c r="S39" s="42" t="str">
        <f>A55</f>
        <v>LATER</v>
      </c>
      <c r="T39" s="133">
        <f>SUM(T40:T42)</f>
        <v>423</v>
      </c>
      <c r="U39" s="49">
        <f>SUM(U40:U42)</f>
        <v>560</v>
      </c>
      <c r="V39" s="45">
        <f>U35</f>
        <v>542</v>
      </c>
      <c r="W39" s="42" t="str">
        <f>A35</f>
        <v>VERX</v>
      </c>
      <c r="X39" s="36">
        <f t="shared" si="1"/>
        <v>2632</v>
      </c>
      <c r="Y39" s="105">
        <f>SUM(Y40:Y42)</f>
        <v>1947</v>
      </c>
      <c r="Z39" s="65">
        <f>AVERAGE(Z40,Z41,Z42)</f>
        <v>175.4666666666667</v>
      </c>
      <c r="AA39" s="142">
        <f>AVERAGE(AA40,AA41,AA42)</f>
        <v>129.79999999999998</v>
      </c>
      <c r="AB39" s="219">
        <f>F40+J40+N40+R40+V40</f>
        <v>2</v>
      </c>
    </row>
    <row r="40" spans="1:28" s="38" customFormat="1" ht="15.75" customHeight="1">
      <c r="A40" s="222" t="s">
        <v>153</v>
      </c>
      <c r="B40" s="223"/>
      <c r="C40" s="150">
        <v>39</v>
      </c>
      <c r="D40" s="59">
        <v>94</v>
      </c>
      <c r="E40" s="50">
        <f>D40+C40</f>
        <v>133</v>
      </c>
      <c r="F40" s="224">
        <v>0</v>
      </c>
      <c r="G40" s="225"/>
      <c r="H40" s="97">
        <v>155</v>
      </c>
      <c r="I40" s="46">
        <f>H40+C40</f>
        <v>194</v>
      </c>
      <c r="J40" s="224">
        <v>1</v>
      </c>
      <c r="K40" s="225"/>
      <c r="L40" s="97">
        <v>147</v>
      </c>
      <c r="M40" s="50">
        <f>L40+C40</f>
        <v>186</v>
      </c>
      <c r="N40" s="224">
        <v>0</v>
      </c>
      <c r="O40" s="225"/>
      <c r="P40" s="97">
        <v>130</v>
      </c>
      <c r="Q40" s="50">
        <f>P40+C40</f>
        <v>169</v>
      </c>
      <c r="R40" s="224">
        <v>0</v>
      </c>
      <c r="S40" s="225"/>
      <c r="T40" s="97">
        <v>115</v>
      </c>
      <c r="U40" s="50">
        <f>T40+C40</f>
        <v>154</v>
      </c>
      <c r="V40" s="224">
        <v>1</v>
      </c>
      <c r="W40" s="225"/>
      <c r="X40" s="46">
        <f t="shared" si="1"/>
        <v>836</v>
      </c>
      <c r="Y40" s="106">
        <f>D40+H40+L40+P40+T40</f>
        <v>641</v>
      </c>
      <c r="Z40" s="67">
        <f>AVERAGE(E40,I40,M40,Q40,U40)</f>
        <v>167.2</v>
      </c>
      <c r="AA40" s="143">
        <f>AVERAGE(E40,I40,M40,Q40,U40)-C40</f>
        <v>128.2</v>
      </c>
      <c r="AB40" s="220"/>
    </row>
    <row r="41" spans="1:28" s="38" customFormat="1" ht="15.75" customHeight="1">
      <c r="A41" s="222" t="s">
        <v>154</v>
      </c>
      <c r="B41" s="223"/>
      <c r="C41" s="150">
        <v>55</v>
      </c>
      <c r="D41" s="59">
        <v>108</v>
      </c>
      <c r="E41" s="50">
        <f>D41+C41</f>
        <v>163</v>
      </c>
      <c r="F41" s="226"/>
      <c r="G41" s="227"/>
      <c r="H41" s="98">
        <v>125</v>
      </c>
      <c r="I41" s="46">
        <f>H41+C41</f>
        <v>180</v>
      </c>
      <c r="J41" s="226"/>
      <c r="K41" s="227"/>
      <c r="L41" s="98">
        <v>106</v>
      </c>
      <c r="M41" s="50">
        <f>L41+C41</f>
        <v>161</v>
      </c>
      <c r="N41" s="226"/>
      <c r="O41" s="227"/>
      <c r="P41" s="98">
        <v>108</v>
      </c>
      <c r="Q41" s="50">
        <f>P41+C41</f>
        <v>163</v>
      </c>
      <c r="R41" s="226"/>
      <c r="S41" s="227"/>
      <c r="T41" s="98">
        <v>150</v>
      </c>
      <c r="U41" s="50">
        <f>T41+C41</f>
        <v>205</v>
      </c>
      <c r="V41" s="226"/>
      <c r="W41" s="227"/>
      <c r="X41" s="46">
        <f t="shared" si="1"/>
        <v>872</v>
      </c>
      <c r="Y41" s="106">
        <f>D41+H41+L41+P41+T41</f>
        <v>597</v>
      </c>
      <c r="Z41" s="67">
        <f>AVERAGE(E41,I41,M41,Q41,U41)</f>
        <v>174.4</v>
      </c>
      <c r="AA41" s="143">
        <f>AVERAGE(E41,I41,M41,Q41,U41)-C41</f>
        <v>119.4</v>
      </c>
      <c r="AB41" s="220"/>
    </row>
    <row r="42" spans="1:28" s="38" customFormat="1" ht="15.75" customHeight="1" thickBot="1">
      <c r="A42" s="229" t="s">
        <v>155</v>
      </c>
      <c r="B42" s="230"/>
      <c r="C42" s="151">
        <v>43</v>
      </c>
      <c r="D42" s="60">
        <v>161</v>
      </c>
      <c r="E42" s="50">
        <f>D42+C42</f>
        <v>204</v>
      </c>
      <c r="F42" s="204"/>
      <c r="G42" s="228"/>
      <c r="H42" s="99">
        <v>125</v>
      </c>
      <c r="I42" s="46">
        <f>H42+C42</f>
        <v>168</v>
      </c>
      <c r="J42" s="204"/>
      <c r="K42" s="228"/>
      <c r="L42" s="99">
        <v>131</v>
      </c>
      <c r="M42" s="50">
        <f>L42+C42</f>
        <v>174</v>
      </c>
      <c r="N42" s="204"/>
      <c r="O42" s="228"/>
      <c r="P42" s="99">
        <v>134</v>
      </c>
      <c r="Q42" s="50">
        <f>P42+C42</f>
        <v>177</v>
      </c>
      <c r="R42" s="204"/>
      <c r="S42" s="228"/>
      <c r="T42" s="99">
        <v>158</v>
      </c>
      <c r="U42" s="50">
        <f>T42+C42</f>
        <v>201</v>
      </c>
      <c r="V42" s="204"/>
      <c r="W42" s="228"/>
      <c r="X42" s="47">
        <f t="shared" si="1"/>
        <v>924</v>
      </c>
      <c r="Y42" s="107">
        <f>D42+H42+L42+P42+T42</f>
        <v>709</v>
      </c>
      <c r="Z42" s="68">
        <f>AVERAGE(E42,I42,M42,Q42,U42)</f>
        <v>184.8</v>
      </c>
      <c r="AA42" s="144">
        <f>AVERAGE(E42,I42,M42,Q42,U42)-C42</f>
        <v>141.8</v>
      </c>
      <c r="AB42" s="221"/>
    </row>
    <row r="43" spans="1:28" s="38" customFormat="1" ht="42" customHeight="1">
      <c r="A43" s="217" t="s">
        <v>77</v>
      </c>
      <c r="B43" s="218"/>
      <c r="C43" s="149">
        <f>SUM(C44:C46)</f>
        <v>156</v>
      </c>
      <c r="D43" s="62">
        <f>SUM(D44:D46)</f>
        <v>377</v>
      </c>
      <c r="E43" s="45">
        <f>SUM(E44:E46)</f>
        <v>533</v>
      </c>
      <c r="F43" s="45">
        <f>E47</f>
        <v>545</v>
      </c>
      <c r="G43" s="42" t="str">
        <f>A47</f>
        <v>LAJOS 1</v>
      </c>
      <c r="H43" s="62">
        <f>SUM(H44:H46)</f>
        <v>385</v>
      </c>
      <c r="I43" s="45">
        <f>SUM(I44:I46)</f>
        <v>541</v>
      </c>
      <c r="J43" s="45">
        <f>I55</f>
        <v>563</v>
      </c>
      <c r="K43" s="42" t="str">
        <f>A55</f>
        <v>LATER</v>
      </c>
      <c r="L43" s="133">
        <f>SUM(L44:L46)</f>
        <v>375</v>
      </c>
      <c r="M43" s="69">
        <f>SUM(M44:M46)</f>
        <v>531</v>
      </c>
      <c r="N43" s="45">
        <f>M39</f>
        <v>521</v>
      </c>
      <c r="O43" s="42" t="str">
        <f>A39</f>
        <v>Wiru Auto</v>
      </c>
      <c r="P43" s="45">
        <f>SUM(P44:P46)</f>
        <v>363</v>
      </c>
      <c r="Q43" s="49">
        <f>SUM(Q44:Q46)</f>
        <v>519</v>
      </c>
      <c r="R43" s="45">
        <f>Q35</f>
        <v>566</v>
      </c>
      <c r="S43" s="42" t="str">
        <f>A35</f>
        <v>VERX</v>
      </c>
      <c r="T43" s="133">
        <f>SUM(T44:T46)</f>
        <v>319</v>
      </c>
      <c r="U43" s="69">
        <f>SUM(U44:U46)</f>
        <v>475</v>
      </c>
      <c r="V43" s="45">
        <f>U51</f>
        <v>568</v>
      </c>
      <c r="W43" s="42" t="str">
        <f>A51</f>
        <v>AKAT 1</v>
      </c>
      <c r="X43" s="36">
        <f t="shared" si="1"/>
        <v>2599</v>
      </c>
      <c r="Y43" s="105">
        <f>SUM(Y44:Y46)</f>
        <v>1819</v>
      </c>
      <c r="Z43" s="65">
        <f>AVERAGE(Z44,Z45,Z46)</f>
        <v>173.26666666666668</v>
      </c>
      <c r="AA43" s="142">
        <f>AVERAGE(AA44,AA45,AA46)</f>
        <v>121.26666666666667</v>
      </c>
      <c r="AB43" s="219">
        <f>F44+J44+N44+R44+V44</f>
        <v>1</v>
      </c>
    </row>
    <row r="44" spans="1:28" s="38" customFormat="1" ht="15.75" customHeight="1">
      <c r="A44" s="222" t="s">
        <v>95</v>
      </c>
      <c r="B44" s="223"/>
      <c r="C44" s="150">
        <v>54</v>
      </c>
      <c r="D44" s="59">
        <v>117</v>
      </c>
      <c r="E44" s="50">
        <f>D44+C44</f>
        <v>171</v>
      </c>
      <c r="F44" s="224">
        <v>0</v>
      </c>
      <c r="G44" s="225"/>
      <c r="H44" s="97">
        <v>109</v>
      </c>
      <c r="I44" s="46">
        <f>H44+C44</f>
        <v>163</v>
      </c>
      <c r="J44" s="224">
        <v>0</v>
      </c>
      <c r="K44" s="225"/>
      <c r="L44" s="97">
        <v>126</v>
      </c>
      <c r="M44" s="50">
        <f>L44+C44</f>
        <v>180</v>
      </c>
      <c r="N44" s="224">
        <v>1</v>
      </c>
      <c r="O44" s="225"/>
      <c r="P44" s="97">
        <v>108</v>
      </c>
      <c r="Q44" s="50">
        <f>P44+C44</f>
        <v>162</v>
      </c>
      <c r="R44" s="224">
        <v>0</v>
      </c>
      <c r="S44" s="225"/>
      <c r="T44" s="97">
        <v>92</v>
      </c>
      <c r="U44" s="50">
        <f>T44+C44</f>
        <v>146</v>
      </c>
      <c r="V44" s="224">
        <v>0</v>
      </c>
      <c r="W44" s="225"/>
      <c r="X44" s="46">
        <f t="shared" si="1"/>
        <v>822</v>
      </c>
      <c r="Y44" s="106">
        <f>D44+H44+L44+P44+T44</f>
        <v>552</v>
      </c>
      <c r="Z44" s="67">
        <f>AVERAGE(E44,I44,M44,Q44,U44)</f>
        <v>164.4</v>
      </c>
      <c r="AA44" s="143">
        <f>AVERAGE(E44,I44,M44,Q44,U44)-C44</f>
        <v>110.4</v>
      </c>
      <c r="AB44" s="220"/>
    </row>
    <row r="45" spans="1:28" s="38" customFormat="1" ht="15.75" customHeight="1">
      <c r="A45" s="222" t="s">
        <v>96</v>
      </c>
      <c r="B45" s="223"/>
      <c r="C45" s="150">
        <v>47</v>
      </c>
      <c r="D45" s="59">
        <v>154</v>
      </c>
      <c r="E45" s="50">
        <f>D45+C45</f>
        <v>201</v>
      </c>
      <c r="F45" s="226"/>
      <c r="G45" s="227"/>
      <c r="H45" s="98">
        <v>134</v>
      </c>
      <c r="I45" s="46">
        <f>H45+C45</f>
        <v>181</v>
      </c>
      <c r="J45" s="226"/>
      <c r="K45" s="227"/>
      <c r="L45" s="98">
        <v>110</v>
      </c>
      <c r="M45" s="50">
        <f>L45+C45</f>
        <v>157</v>
      </c>
      <c r="N45" s="226"/>
      <c r="O45" s="227"/>
      <c r="P45" s="98">
        <v>134</v>
      </c>
      <c r="Q45" s="50">
        <f>P45+C45</f>
        <v>181</v>
      </c>
      <c r="R45" s="226"/>
      <c r="S45" s="227"/>
      <c r="T45" s="98">
        <v>127</v>
      </c>
      <c r="U45" s="50">
        <f>T45+C45</f>
        <v>174</v>
      </c>
      <c r="V45" s="226"/>
      <c r="W45" s="227"/>
      <c r="X45" s="46">
        <f t="shared" si="1"/>
        <v>894</v>
      </c>
      <c r="Y45" s="106">
        <f>D45+H45+L45+P45+T45</f>
        <v>659</v>
      </c>
      <c r="Z45" s="67">
        <f>AVERAGE(E45,I45,M45,Q45,U45)</f>
        <v>178.8</v>
      </c>
      <c r="AA45" s="143">
        <f>AVERAGE(E45,I45,M45,Q45,U45)-C45</f>
        <v>131.8</v>
      </c>
      <c r="AB45" s="220"/>
    </row>
    <row r="46" spans="1:28" s="38" customFormat="1" ht="15.75" customHeight="1" thickBot="1">
      <c r="A46" s="229" t="s">
        <v>97</v>
      </c>
      <c r="B46" s="230"/>
      <c r="C46" s="151">
        <v>55</v>
      </c>
      <c r="D46" s="60">
        <v>106</v>
      </c>
      <c r="E46" s="50">
        <f>D46+C46</f>
        <v>161</v>
      </c>
      <c r="F46" s="204"/>
      <c r="G46" s="228"/>
      <c r="H46" s="99">
        <v>142</v>
      </c>
      <c r="I46" s="46">
        <f>H46+C46</f>
        <v>197</v>
      </c>
      <c r="J46" s="204"/>
      <c r="K46" s="228"/>
      <c r="L46" s="99">
        <v>139</v>
      </c>
      <c r="M46" s="50">
        <f>L46+C46</f>
        <v>194</v>
      </c>
      <c r="N46" s="204"/>
      <c r="O46" s="228"/>
      <c r="P46" s="99">
        <v>121</v>
      </c>
      <c r="Q46" s="50">
        <f>P46+C46</f>
        <v>176</v>
      </c>
      <c r="R46" s="204"/>
      <c r="S46" s="228"/>
      <c r="T46" s="99">
        <v>100</v>
      </c>
      <c r="U46" s="50">
        <f>T46+C46</f>
        <v>155</v>
      </c>
      <c r="V46" s="204"/>
      <c r="W46" s="228"/>
      <c r="X46" s="47">
        <f t="shared" si="1"/>
        <v>883</v>
      </c>
      <c r="Y46" s="107">
        <f>D46+H46+L46+P46+T46</f>
        <v>608</v>
      </c>
      <c r="Z46" s="68">
        <f>AVERAGE(E46,I46,M46,Q46,U46)</f>
        <v>176.6</v>
      </c>
      <c r="AA46" s="144">
        <f>AVERAGE(E46,I46,M46,Q46,U46)-C46</f>
        <v>121.6</v>
      </c>
      <c r="AB46" s="221"/>
    </row>
    <row r="47" spans="1:28" s="38" customFormat="1" ht="42" customHeight="1">
      <c r="A47" s="217" t="s">
        <v>14</v>
      </c>
      <c r="B47" s="218"/>
      <c r="C47" s="149">
        <f>SUM(C48:C50)</f>
        <v>155</v>
      </c>
      <c r="D47" s="62">
        <f>SUM(D48:D50)</f>
        <v>390</v>
      </c>
      <c r="E47" s="45">
        <f>SUM(E48:E50)</f>
        <v>545</v>
      </c>
      <c r="F47" s="45">
        <f>E43</f>
        <v>533</v>
      </c>
      <c r="G47" s="42" t="str">
        <f>A43</f>
        <v>PLANRAY</v>
      </c>
      <c r="H47" s="62">
        <f>SUM(H48:H50)</f>
        <v>378</v>
      </c>
      <c r="I47" s="45">
        <f>SUM(I48:I50)</f>
        <v>533</v>
      </c>
      <c r="J47" s="45">
        <f>I39</f>
        <v>542</v>
      </c>
      <c r="K47" s="42" t="str">
        <f>A39</f>
        <v>Wiru Auto</v>
      </c>
      <c r="L47" s="133">
        <f>SUM(L48:L50)</f>
        <v>411</v>
      </c>
      <c r="M47" s="49">
        <f>SUM(M48:M50)</f>
        <v>566</v>
      </c>
      <c r="N47" s="45">
        <f>M35</f>
        <v>576</v>
      </c>
      <c r="O47" s="42" t="str">
        <f>A35</f>
        <v>VERX</v>
      </c>
      <c r="P47" s="45">
        <f>SUM(P48:P50)</f>
        <v>344</v>
      </c>
      <c r="Q47" s="49">
        <f>SUM(Q48:Q50)</f>
        <v>499</v>
      </c>
      <c r="R47" s="45">
        <f>Q51</f>
        <v>578</v>
      </c>
      <c r="S47" s="42" t="str">
        <f>A51</f>
        <v>AKAT 1</v>
      </c>
      <c r="T47" s="133">
        <f>SUM(T48:T50)</f>
        <v>366</v>
      </c>
      <c r="U47" s="49">
        <f>SUM(U48:U50)</f>
        <v>521</v>
      </c>
      <c r="V47" s="45">
        <f>U55</f>
        <v>581</v>
      </c>
      <c r="W47" s="42" t="str">
        <f>A55</f>
        <v>LATER</v>
      </c>
      <c r="X47" s="36">
        <f t="shared" si="1"/>
        <v>2664</v>
      </c>
      <c r="Y47" s="105">
        <f>SUM(Y48:Y50)</f>
        <v>1889</v>
      </c>
      <c r="Z47" s="65">
        <f>AVERAGE(Z48,Z49,Z50)</f>
        <v>177.6</v>
      </c>
      <c r="AA47" s="142">
        <f>AVERAGE(AA48,AA49,AA50)</f>
        <v>125.93333333333332</v>
      </c>
      <c r="AB47" s="219">
        <f>F48+J48+N48+R48+V48</f>
        <v>1</v>
      </c>
    </row>
    <row r="48" spans="1:28" s="38" customFormat="1" ht="15.75" customHeight="1">
      <c r="A48" s="222" t="s">
        <v>55</v>
      </c>
      <c r="B48" s="223"/>
      <c r="C48" s="150">
        <v>51</v>
      </c>
      <c r="D48" s="59">
        <v>126</v>
      </c>
      <c r="E48" s="50">
        <f>D48+C48</f>
        <v>177</v>
      </c>
      <c r="F48" s="224">
        <v>1</v>
      </c>
      <c r="G48" s="225"/>
      <c r="H48" s="97">
        <v>159</v>
      </c>
      <c r="I48" s="46">
        <f>H48+C48</f>
        <v>210</v>
      </c>
      <c r="J48" s="224">
        <v>0</v>
      </c>
      <c r="K48" s="225"/>
      <c r="L48" s="97">
        <v>95</v>
      </c>
      <c r="M48" s="50">
        <f>L48+C48</f>
        <v>146</v>
      </c>
      <c r="N48" s="224">
        <v>0</v>
      </c>
      <c r="O48" s="225"/>
      <c r="P48" s="97">
        <v>103</v>
      </c>
      <c r="Q48" s="50">
        <f>P48+C48</f>
        <v>154</v>
      </c>
      <c r="R48" s="224">
        <v>0</v>
      </c>
      <c r="S48" s="225"/>
      <c r="T48" s="97">
        <v>157</v>
      </c>
      <c r="U48" s="50">
        <f>T48+C48</f>
        <v>208</v>
      </c>
      <c r="V48" s="224">
        <v>0</v>
      </c>
      <c r="W48" s="225"/>
      <c r="X48" s="46">
        <f t="shared" si="1"/>
        <v>895</v>
      </c>
      <c r="Y48" s="106">
        <f>D48+H48+L48+P48+T48</f>
        <v>640</v>
      </c>
      <c r="Z48" s="67">
        <f>AVERAGE(E48,I48,M48,Q48,U48)</f>
        <v>179</v>
      </c>
      <c r="AA48" s="143">
        <f>AVERAGE(E48,I48,M48,Q48,U48)-C48</f>
        <v>128</v>
      </c>
      <c r="AB48" s="220"/>
    </row>
    <row r="49" spans="1:28" s="38" customFormat="1" ht="15.75" customHeight="1">
      <c r="A49" s="222" t="s">
        <v>53</v>
      </c>
      <c r="B49" s="223"/>
      <c r="C49" s="150">
        <v>60</v>
      </c>
      <c r="D49" s="59">
        <v>133</v>
      </c>
      <c r="E49" s="50">
        <f>D49+C49</f>
        <v>193</v>
      </c>
      <c r="F49" s="226"/>
      <c r="G49" s="227"/>
      <c r="H49" s="98">
        <v>88</v>
      </c>
      <c r="I49" s="46">
        <f>H49+C49</f>
        <v>148</v>
      </c>
      <c r="J49" s="226"/>
      <c r="K49" s="227"/>
      <c r="L49" s="98">
        <v>160</v>
      </c>
      <c r="M49" s="50">
        <f>L49+C49</f>
        <v>220</v>
      </c>
      <c r="N49" s="226"/>
      <c r="O49" s="227"/>
      <c r="P49" s="98">
        <v>114</v>
      </c>
      <c r="Q49" s="50">
        <f>P49+C49</f>
        <v>174</v>
      </c>
      <c r="R49" s="226"/>
      <c r="S49" s="227"/>
      <c r="T49" s="98">
        <v>108</v>
      </c>
      <c r="U49" s="50">
        <f>T49+C49</f>
        <v>168</v>
      </c>
      <c r="V49" s="226"/>
      <c r="W49" s="227"/>
      <c r="X49" s="46">
        <f t="shared" si="1"/>
        <v>903</v>
      </c>
      <c r="Y49" s="106">
        <f>D49+H49+L49+P49+T49</f>
        <v>603</v>
      </c>
      <c r="Z49" s="67">
        <f>AVERAGE(E49,I49,M49,Q49,U49)</f>
        <v>180.6</v>
      </c>
      <c r="AA49" s="143">
        <f>AVERAGE(E49,I49,M49,Q49,U49)-C49</f>
        <v>120.6</v>
      </c>
      <c r="AB49" s="220"/>
    </row>
    <row r="50" spans="1:29" s="38" customFormat="1" ht="15.75" customHeight="1" thickBot="1">
      <c r="A50" s="229" t="s">
        <v>54</v>
      </c>
      <c r="B50" s="230"/>
      <c r="C50" s="151">
        <v>44</v>
      </c>
      <c r="D50" s="60">
        <v>131</v>
      </c>
      <c r="E50" s="50">
        <f>D50+C50</f>
        <v>175</v>
      </c>
      <c r="F50" s="204"/>
      <c r="G50" s="228"/>
      <c r="H50" s="99">
        <v>131</v>
      </c>
      <c r="I50" s="46">
        <f>H50+C50</f>
        <v>175</v>
      </c>
      <c r="J50" s="204"/>
      <c r="K50" s="228"/>
      <c r="L50" s="99">
        <v>156</v>
      </c>
      <c r="M50" s="50">
        <f>L50+C50</f>
        <v>200</v>
      </c>
      <c r="N50" s="204"/>
      <c r="O50" s="228"/>
      <c r="P50" s="99">
        <v>127</v>
      </c>
      <c r="Q50" s="50">
        <f>P50+C50</f>
        <v>171</v>
      </c>
      <c r="R50" s="204"/>
      <c r="S50" s="228"/>
      <c r="T50" s="99">
        <v>101</v>
      </c>
      <c r="U50" s="50">
        <f>T50+C50</f>
        <v>145</v>
      </c>
      <c r="V50" s="204"/>
      <c r="W50" s="228"/>
      <c r="X50" s="47">
        <f t="shared" si="1"/>
        <v>866</v>
      </c>
      <c r="Y50" s="107">
        <f>D50+H50+L50+P50+T50</f>
        <v>646</v>
      </c>
      <c r="Z50" s="68">
        <f>AVERAGE(E50,I50,M50,Q50,U50)</f>
        <v>173.2</v>
      </c>
      <c r="AA50" s="144">
        <f>AVERAGE(E50,I50,M50,Q50,U50)-C50</f>
        <v>129.2</v>
      </c>
      <c r="AB50" s="221"/>
      <c r="AC50" s="44"/>
    </row>
    <row r="51" spans="1:28" s="38" customFormat="1" ht="42" customHeight="1">
      <c r="A51" s="217" t="s">
        <v>233</v>
      </c>
      <c r="B51" s="218"/>
      <c r="C51" s="149">
        <f>SUM(C52:C54)</f>
        <v>85</v>
      </c>
      <c r="D51" s="62">
        <f>SUM(D52:D54)</f>
        <v>439</v>
      </c>
      <c r="E51" s="45">
        <f>SUM(E52:E54)</f>
        <v>524</v>
      </c>
      <c r="F51" s="45">
        <f>E39</f>
        <v>500</v>
      </c>
      <c r="G51" s="42" t="str">
        <f>A39</f>
        <v>Wiru Auto</v>
      </c>
      <c r="H51" s="62">
        <f>SUM(H52:H54)</f>
        <v>445</v>
      </c>
      <c r="I51" s="45">
        <f>SUM(I52:I54)</f>
        <v>530</v>
      </c>
      <c r="J51" s="45">
        <f>I35</f>
        <v>567</v>
      </c>
      <c r="K51" s="42" t="str">
        <f>A35</f>
        <v>VERX</v>
      </c>
      <c r="L51" s="133">
        <f>SUM(L52:L54)</f>
        <v>494</v>
      </c>
      <c r="M51" s="69">
        <f>SUM(M52:M54)</f>
        <v>579</v>
      </c>
      <c r="N51" s="45">
        <f>M55</f>
        <v>551</v>
      </c>
      <c r="O51" s="42" t="str">
        <f>A55</f>
        <v>LATER</v>
      </c>
      <c r="P51" s="45">
        <f>SUM(P52:P54)</f>
        <v>493</v>
      </c>
      <c r="Q51" s="69">
        <f>SUM(Q52:Q54)</f>
        <v>578</v>
      </c>
      <c r="R51" s="45">
        <f>Q47</f>
        <v>499</v>
      </c>
      <c r="S51" s="42" t="str">
        <f>A47</f>
        <v>LAJOS 1</v>
      </c>
      <c r="T51" s="133">
        <f>SUM(T52:T54)</f>
        <v>483</v>
      </c>
      <c r="U51" s="69">
        <f>SUM(U52:U54)</f>
        <v>568</v>
      </c>
      <c r="V51" s="45">
        <f>U43</f>
        <v>475</v>
      </c>
      <c r="W51" s="42" t="str">
        <f>A43</f>
        <v>PLANRAY</v>
      </c>
      <c r="X51" s="36">
        <f t="shared" si="1"/>
        <v>2779</v>
      </c>
      <c r="Y51" s="105">
        <f>SUM(Y52:Y54)</f>
        <v>2354</v>
      </c>
      <c r="Z51" s="65">
        <f>AVERAGE(Z52,Z53,Z54)</f>
        <v>185.26666666666665</v>
      </c>
      <c r="AA51" s="142">
        <f>AVERAGE(AA52,AA53,AA54)</f>
        <v>156.93333333333334</v>
      </c>
      <c r="AB51" s="219">
        <f>F52+J52+N52+R52+V52</f>
        <v>4</v>
      </c>
    </row>
    <row r="52" spans="1:28" s="38" customFormat="1" ht="15.75" customHeight="1">
      <c r="A52" s="222" t="s">
        <v>234</v>
      </c>
      <c r="B52" s="223"/>
      <c r="C52" s="150">
        <v>27</v>
      </c>
      <c r="D52" s="59">
        <v>161</v>
      </c>
      <c r="E52" s="50">
        <f>D52+C52</f>
        <v>188</v>
      </c>
      <c r="F52" s="224">
        <v>1</v>
      </c>
      <c r="G52" s="225"/>
      <c r="H52" s="97">
        <v>140</v>
      </c>
      <c r="I52" s="46">
        <f>H52+C52</f>
        <v>167</v>
      </c>
      <c r="J52" s="224">
        <v>0</v>
      </c>
      <c r="K52" s="225"/>
      <c r="L52" s="97">
        <v>167</v>
      </c>
      <c r="M52" s="50">
        <f>L52+C52</f>
        <v>194</v>
      </c>
      <c r="N52" s="224">
        <v>1</v>
      </c>
      <c r="O52" s="225"/>
      <c r="P52" s="97">
        <v>156</v>
      </c>
      <c r="Q52" s="50">
        <f>P52+C52</f>
        <v>183</v>
      </c>
      <c r="R52" s="224">
        <v>1</v>
      </c>
      <c r="S52" s="225"/>
      <c r="T52" s="97">
        <v>166</v>
      </c>
      <c r="U52" s="50">
        <f>T52+C52</f>
        <v>193</v>
      </c>
      <c r="V52" s="224">
        <v>1</v>
      </c>
      <c r="W52" s="225"/>
      <c r="X52" s="46">
        <f t="shared" si="1"/>
        <v>925</v>
      </c>
      <c r="Y52" s="106">
        <f>D52+H52+L52+P52+T52</f>
        <v>790</v>
      </c>
      <c r="Z52" s="67">
        <f>AVERAGE(E52,I52,M52,Q52,U52)</f>
        <v>185</v>
      </c>
      <c r="AA52" s="143">
        <f>AVERAGE(E52,I52,M52,Q52,U52)-C52</f>
        <v>158</v>
      </c>
      <c r="AB52" s="220"/>
    </row>
    <row r="53" spans="1:28" s="38" customFormat="1" ht="15.75" customHeight="1">
      <c r="A53" s="222" t="s">
        <v>235</v>
      </c>
      <c r="B53" s="223"/>
      <c r="C53" s="150">
        <v>42</v>
      </c>
      <c r="D53" s="59">
        <v>121</v>
      </c>
      <c r="E53" s="50">
        <f>D53+C53</f>
        <v>163</v>
      </c>
      <c r="F53" s="226"/>
      <c r="G53" s="227"/>
      <c r="H53" s="98">
        <v>143</v>
      </c>
      <c r="I53" s="46">
        <f>H53+C53</f>
        <v>185</v>
      </c>
      <c r="J53" s="226"/>
      <c r="K53" s="227"/>
      <c r="L53" s="98">
        <v>159</v>
      </c>
      <c r="M53" s="50">
        <f>L53+C53</f>
        <v>201</v>
      </c>
      <c r="N53" s="226"/>
      <c r="O53" s="227"/>
      <c r="P53" s="98">
        <v>143</v>
      </c>
      <c r="Q53" s="50">
        <f>P53+C53</f>
        <v>185</v>
      </c>
      <c r="R53" s="226"/>
      <c r="S53" s="227"/>
      <c r="T53" s="98">
        <v>152</v>
      </c>
      <c r="U53" s="50">
        <f>T53+C53</f>
        <v>194</v>
      </c>
      <c r="V53" s="226"/>
      <c r="W53" s="227"/>
      <c r="X53" s="46">
        <f t="shared" si="1"/>
        <v>928</v>
      </c>
      <c r="Y53" s="106">
        <f>D53+H53+L53+P53+T53</f>
        <v>718</v>
      </c>
      <c r="Z53" s="67">
        <f>AVERAGE(E53,I53,M53,Q53,U53)</f>
        <v>185.6</v>
      </c>
      <c r="AA53" s="143">
        <f>AVERAGE(E53,I53,M53,Q53,U53)-C53</f>
        <v>143.6</v>
      </c>
      <c r="AB53" s="220"/>
    </row>
    <row r="54" spans="1:28" s="38" customFormat="1" ht="15.75" customHeight="1" thickBot="1">
      <c r="A54" s="229" t="s">
        <v>236</v>
      </c>
      <c r="B54" s="230"/>
      <c r="C54" s="151">
        <v>16</v>
      </c>
      <c r="D54" s="60">
        <v>157</v>
      </c>
      <c r="E54" s="50">
        <f>D54+C54</f>
        <v>173</v>
      </c>
      <c r="F54" s="204"/>
      <c r="G54" s="228"/>
      <c r="H54" s="99">
        <v>162</v>
      </c>
      <c r="I54" s="46">
        <f>H54+C54</f>
        <v>178</v>
      </c>
      <c r="J54" s="204"/>
      <c r="K54" s="228"/>
      <c r="L54" s="99">
        <v>168</v>
      </c>
      <c r="M54" s="50">
        <f>L54+C54</f>
        <v>184</v>
      </c>
      <c r="N54" s="204"/>
      <c r="O54" s="228"/>
      <c r="P54" s="99">
        <v>194</v>
      </c>
      <c r="Q54" s="50">
        <f>P54+C54</f>
        <v>210</v>
      </c>
      <c r="R54" s="204"/>
      <c r="S54" s="228"/>
      <c r="T54" s="99">
        <v>165</v>
      </c>
      <c r="U54" s="50">
        <f>T54+C54</f>
        <v>181</v>
      </c>
      <c r="V54" s="204"/>
      <c r="W54" s="228"/>
      <c r="X54" s="47">
        <f t="shared" si="1"/>
        <v>926</v>
      </c>
      <c r="Y54" s="107">
        <f>D54+H54+L54+P54+T54</f>
        <v>846</v>
      </c>
      <c r="Z54" s="68">
        <f>AVERAGE(E54,I54,M54,Q54,U54)</f>
        <v>185.2</v>
      </c>
      <c r="AA54" s="144">
        <f>AVERAGE(E54,I54,M54,Q54,U54)-C54</f>
        <v>169.2</v>
      </c>
      <c r="AB54" s="221"/>
    </row>
    <row r="55" spans="1:28" s="38" customFormat="1" ht="42" customHeight="1">
      <c r="A55" s="217" t="s">
        <v>75</v>
      </c>
      <c r="B55" s="218"/>
      <c r="C55" s="149">
        <f>SUM(C56:C58)</f>
        <v>128</v>
      </c>
      <c r="D55" s="62">
        <f>SUM(D56:D58)</f>
        <v>422</v>
      </c>
      <c r="E55" s="45">
        <f>SUM(E56:E58)</f>
        <v>550</v>
      </c>
      <c r="F55" s="45">
        <f>E35</f>
        <v>513</v>
      </c>
      <c r="G55" s="42" t="str">
        <f>A35</f>
        <v>VERX</v>
      </c>
      <c r="H55" s="62">
        <f>SUM(H56:H58)</f>
        <v>435</v>
      </c>
      <c r="I55" s="45">
        <f>SUM(I56:I58)</f>
        <v>563</v>
      </c>
      <c r="J55" s="45">
        <f>I43</f>
        <v>541</v>
      </c>
      <c r="K55" s="42" t="str">
        <f>A43</f>
        <v>PLANRAY</v>
      </c>
      <c r="L55" s="133">
        <f>SUM(L56:L58)</f>
        <v>423</v>
      </c>
      <c r="M55" s="49">
        <f>SUM(M56:M58)</f>
        <v>551</v>
      </c>
      <c r="N55" s="45">
        <f>M51</f>
        <v>579</v>
      </c>
      <c r="O55" s="42" t="str">
        <f>A51</f>
        <v>AKAT 1</v>
      </c>
      <c r="P55" s="45">
        <f>SUM(P56:P58)</f>
        <v>461</v>
      </c>
      <c r="Q55" s="49">
        <f>SUM(Q56:Q58)</f>
        <v>589</v>
      </c>
      <c r="R55" s="45">
        <f>Q39</f>
        <v>509</v>
      </c>
      <c r="S55" s="42" t="str">
        <f>A39</f>
        <v>Wiru Auto</v>
      </c>
      <c r="T55" s="133">
        <f>SUM(T56:T58)</f>
        <v>453</v>
      </c>
      <c r="U55" s="49">
        <f>SUM(U56:U58)</f>
        <v>581</v>
      </c>
      <c r="V55" s="45">
        <f>U47</f>
        <v>521</v>
      </c>
      <c r="W55" s="42" t="str">
        <f>A47</f>
        <v>LAJOS 1</v>
      </c>
      <c r="X55" s="36">
        <f t="shared" si="1"/>
        <v>2834</v>
      </c>
      <c r="Y55" s="105">
        <f>SUM(Y56:Y58)</f>
        <v>2194</v>
      </c>
      <c r="Z55" s="65">
        <f>AVERAGE(Z56,Z57,Z58)</f>
        <v>188.9333333333333</v>
      </c>
      <c r="AA55" s="142">
        <f>AVERAGE(AA56,AA57,AA58)</f>
        <v>146.26666666666665</v>
      </c>
      <c r="AB55" s="219">
        <f>F56+J56+N56+R56+V56</f>
        <v>4</v>
      </c>
    </row>
    <row r="56" spans="1:28" s="38" customFormat="1" ht="15.75" customHeight="1">
      <c r="A56" s="222" t="s">
        <v>354</v>
      </c>
      <c r="B56" s="223"/>
      <c r="C56" s="150">
        <v>60</v>
      </c>
      <c r="D56" s="59">
        <v>102</v>
      </c>
      <c r="E56" s="50">
        <f>D56+C56</f>
        <v>162</v>
      </c>
      <c r="F56" s="224">
        <v>1</v>
      </c>
      <c r="G56" s="225"/>
      <c r="H56" s="97">
        <v>127</v>
      </c>
      <c r="I56" s="46">
        <f>H56+C56</f>
        <v>187</v>
      </c>
      <c r="J56" s="224">
        <v>1</v>
      </c>
      <c r="K56" s="225"/>
      <c r="L56" s="97">
        <v>126</v>
      </c>
      <c r="M56" s="50">
        <f>L56+C56</f>
        <v>186</v>
      </c>
      <c r="N56" s="224">
        <v>0</v>
      </c>
      <c r="O56" s="225"/>
      <c r="P56" s="97">
        <v>153</v>
      </c>
      <c r="Q56" s="50">
        <f>P56+C56</f>
        <v>213</v>
      </c>
      <c r="R56" s="224">
        <v>1</v>
      </c>
      <c r="S56" s="225"/>
      <c r="T56" s="97">
        <v>147</v>
      </c>
      <c r="U56" s="50">
        <f>T56+C56</f>
        <v>207</v>
      </c>
      <c r="V56" s="224">
        <v>1</v>
      </c>
      <c r="W56" s="225"/>
      <c r="X56" s="46">
        <f t="shared" si="1"/>
        <v>955</v>
      </c>
      <c r="Y56" s="106">
        <f>D56+H56+L56+P56+T56</f>
        <v>655</v>
      </c>
      <c r="Z56" s="67">
        <f>AVERAGE(E56,I56,M56,Q56,U56)</f>
        <v>191</v>
      </c>
      <c r="AA56" s="143">
        <f>AVERAGE(E56,I56,M56,Q56,U56)-C56</f>
        <v>131</v>
      </c>
      <c r="AB56" s="220"/>
    </row>
    <row r="57" spans="1:28" s="38" customFormat="1" ht="15.75" customHeight="1">
      <c r="A57" s="222" t="s">
        <v>85</v>
      </c>
      <c r="B57" s="223"/>
      <c r="C57" s="150">
        <v>39</v>
      </c>
      <c r="D57" s="59">
        <v>134</v>
      </c>
      <c r="E57" s="50">
        <f>D57+C57</f>
        <v>173</v>
      </c>
      <c r="F57" s="226"/>
      <c r="G57" s="227"/>
      <c r="H57" s="98">
        <v>117</v>
      </c>
      <c r="I57" s="46">
        <f>H57+C57</f>
        <v>156</v>
      </c>
      <c r="J57" s="226"/>
      <c r="K57" s="227"/>
      <c r="L57" s="98">
        <v>158</v>
      </c>
      <c r="M57" s="50">
        <f>L57+C57</f>
        <v>197</v>
      </c>
      <c r="N57" s="226"/>
      <c r="O57" s="227"/>
      <c r="P57" s="98">
        <v>113</v>
      </c>
      <c r="Q57" s="50">
        <f>P57+C57</f>
        <v>152</v>
      </c>
      <c r="R57" s="226"/>
      <c r="S57" s="227"/>
      <c r="T57" s="98">
        <v>135</v>
      </c>
      <c r="U57" s="50">
        <f>T57+C57</f>
        <v>174</v>
      </c>
      <c r="V57" s="226"/>
      <c r="W57" s="227"/>
      <c r="X57" s="46">
        <f t="shared" si="1"/>
        <v>852</v>
      </c>
      <c r="Y57" s="106">
        <f>D57+H57+L57+P57+T57</f>
        <v>657</v>
      </c>
      <c r="Z57" s="67">
        <f>AVERAGE(E57,I57,M57,Q57,U57)</f>
        <v>170.4</v>
      </c>
      <c r="AA57" s="143">
        <f>AVERAGE(E57,I57,M57,Q57,U57)-C57</f>
        <v>131.4</v>
      </c>
      <c r="AB57" s="220"/>
    </row>
    <row r="58" spans="1:28" s="38" customFormat="1" ht="15.75" customHeight="1" thickBot="1">
      <c r="A58" s="229" t="s">
        <v>307</v>
      </c>
      <c r="B58" s="230"/>
      <c r="C58" s="151">
        <v>29</v>
      </c>
      <c r="D58" s="60">
        <v>186</v>
      </c>
      <c r="E58" s="50">
        <f>D58+C58</f>
        <v>215</v>
      </c>
      <c r="F58" s="204"/>
      <c r="G58" s="228"/>
      <c r="H58" s="99">
        <v>191</v>
      </c>
      <c r="I58" s="46">
        <f>H58+C58</f>
        <v>220</v>
      </c>
      <c r="J58" s="204"/>
      <c r="K58" s="228"/>
      <c r="L58" s="99">
        <v>139</v>
      </c>
      <c r="M58" s="50">
        <f>L58+C58</f>
        <v>168</v>
      </c>
      <c r="N58" s="204"/>
      <c r="O58" s="228"/>
      <c r="P58" s="99">
        <v>195</v>
      </c>
      <c r="Q58" s="50">
        <f>P58+C58</f>
        <v>224</v>
      </c>
      <c r="R58" s="204"/>
      <c r="S58" s="228"/>
      <c r="T58" s="99">
        <v>171</v>
      </c>
      <c r="U58" s="50">
        <f>T58+C58</f>
        <v>200</v>
      </c>
      <c r="V58" s="204"/>
      <c r="W58" s="228"/>
      <c r="X58" s="47">
        <f t="shared" si="1"/>
        <v>1027</v>
      </c>
      <c r="Y58" s="107">
        <f>D58+H58+L58+P58+T58</f>
        <v>882</v>
      </c>
      <c r="Z58" s="68">
        <f>AVERAGE(E58,I58,M58,Q58,U58)</f>
        <v>205.4</v>
      </c>
      <c r="AA58" s="144">
        <f>AVERAGE(E58,I58,M58,Q58,U58)-C58</f>
        <v>176.4</v>
      </c>
      <c r="AB58" s="221"/>
    </row>
    <row r="59" ht="15" customHeight="1"/>
    <row r="60" spans="1:28" s="40" customFormat="1" ht="9" customHeight="1">
      <c r="A60" s="207" t="s">
        <v>351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4"/>
      <c r="W60" s="25"/>
      <c r="Y60" s="57"/>
      <c r="Z60" s="41"/>
      <c r="AA60" s="139"/>
      <c r="AB60" s="25"/>
    </row>
    <row r="61" spans="1:28" s="40" customFormat="1" ht="6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4"/>
      <c r="W61" s="25"/>
      <c r="Y61" s="57"/>
      <c r="Z61" s="41"/>
      <c r="AA61" s="139"/>
      <c r="AB61" s="25"/>
    </row>
    <row r="62" spans="1:28" s="40" customFormat="1" ht="23.25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5"/>
      <c r="W62" s="25"/>
      <c r="Y62" s="57"/>
      <c r="Z62" s="41"/>
      <c r="AA62" s="139"/>
      <c r="AB62" s="25"/>
    </row>
    <row r="63" spans="1:28" s="31" customFormat="1" ht="15.75" customHeight="1">
      <c r="A63" s="209" t="s">
        <v>0</v>
      </c>
      <c r="B63" s="210"/>
      <c r="C63" s="147" t="s">
        <v>39</v>
      </c>
      <c r="D63" s="55"/>
      <c r="E63" s="27" t="s">
        <v>1</v>
      </c>
      <c r="F63" s="211" t="s">
        <v>2</v>
      </c>
      <c r="G63" s="212"/>
      <c r="H63" s="94"/>
      <c r="I63" s="27" t="s">
        <v>3</v>
      </c>
      <c r="J63" s="211" t="s">
        <v>2</v>
      </c>
      <c r="K63" s="212"/>
      <c r="L63" s="94"/>
      <c r="M63" s="27" t="s">
        <v>4</v>
      </c>
      <c r="N63" s="211" t="s">
        <v>2</v>
      </c>
      <c r="O63" s="212"/>
      <c r="P63" s="94"/>
      <c r="Q63" s="27" t="s">
        <v>5</v>
      </c>
      <c r="R63" s="211" t="s">
        <v>2</v>
      </c>
      <c r="S63" s="212"/>
      <c r="T63" s="94"/>
      <c r="U63" s="27" t="s">
        <v>6</v>
      </c>
      <c r="V63" s="211" t="s">
        <v>2</v>
      </c>
      <c r="W63" s="212"/>
      <c r="X63" s="28" t="s">
        <v>7</v>
      </c>
      <c r="Y63" s="104"/>
      <c r="Z63" s="29" t="s">
        <v>40</v>
      </c>
      <c r="AA63" s="140" t="s">
        <v>42</v>
      </c>
      <c r="AB63" s="30" t="s">
        <v>7</v>
      </c>
    </row>
    <row r="64" spans="1:28" s="31" customFormat="1" ht="15.75" customHeight="1" thickBot="1">
      <c r="A64" s="213" t="s">
        <v>9</v>
      </c>
      <c r="B64" s="214"/>
      <c r="C64" s="148"/>
      <c r="D64" s="56"/>
      <c r="E64" s="32" t="s">
        <v>10</v>
      </c>
      <c r="F64" s="211" t="s">
        <v>11</v>
      </c>
      <c r="G64" s="212"/>
      <c r="H64" s="95"/>
      <c r="I64" s="32" t="s">
        <v>10</v>
      </c>
      <c r="J64" s="215" t="s">
        <v>11</v>
      </c>
      <c r="K64" s="216"/>
      <c r="L64" s="95"/>
      <c r="M64" s="32" t="s">
        <v>10</v>
      </c>
      <c r="N64" s="215" t="s">
        <v>11</v>
      </c>
      <c r="O64" s="216"/>
      <c r="P64" s="95"/>
      <c r="Q64" s="32" t="s">
        <v>10</v>
      </c>
      <c r="R64" s="215" t="s">
        <v>11</v>
      </c>
      <c r="S64" s="216"/>
      <c r="T64" s="95"/>
      <c r="U64" s="32" t="s">
        <v>10</v>
      </c>
      <c r="V64" s="215" t="s">
        <v>11</v>
      </c>
      <c r="W64" s="216"/>
      <c r="X64" s="33" t="s">
        <v>10</v>
      </c>
      <c r="Y64" s="134" t="s">
        <v>287</v>
      </c>
      <c r="Z64" s="34" t="s">
        <v>41</v>
      </c>
      <c r="AA64" s="141" t="s">
        <v>43</v>
      </c>
      <c r="AB64" s="35" t="s">
        <v>12</v>
      </c>
    </row>
    <row r="65" spans="1:28" s="38" customFormat="1" ht="42" customHeight="1">
      <c r="A65" s="217" t="s">
        <v>173</v>
      </c>
      <c r="B65" s="218"/>
      <c r="C65" s="149">
        <f>SUM(C66:C68)</f>
        <v>97</v>
      </c>
      <c r="D65" s="62">
        <f>SUM(D66:D68)</f>
        <v>420</v>
      </c>
      <c r="E65" s="63">
        <f>SUM(E66:E68)</f>
        <v>517</v>
      </c>
      <c r="F65" s="46">
        <f>E85</f>
        <v>491</v>
      </c>
      <c r="G65" s="64" t="str">
        <f>A85</f>
        <v>Vest-Wood 3</v>
      </c>
      <c r="H65" s="62">
        <f>SUM(H66:H68)</f>
        <v>418</v>
      </c>
      <c r="I65" s="49">
        <f>SUM(I66:I68)</f>
        <v>515</v>
      </c>
      <c r="J65" s="49">
        <f>I81</f>
        <v>528</v>
      </c>
      <c r="K65" s="42" t="str">
        <f>A81</f>
        <v>AVR Projekt</v>
      </c>
      <c r="L65" s="58">
        <f>SUM(L66:L68)</f>
        <v>493</v>
      </c>
      <c r="M65" s="45">
        <f>SUM(M66:M68)</f>
        <v>590</v>
      </c>
      <c r="N65" s="45">
        <f>M77</f>
        <v>565</v>
      </c>
      <c r="O65" s="42" t="str">
        <f>A77</f>
        <v>Uus Maa</v>
      </c>
      <c r="P65" s="45">
        <f>SUM(P66:P68)</f>
        <v>420</v>
      </c>
      <c r="Q65" s="45">
        <f>SUM(Q66:Q68)</f>
        <v>517</v>
      </c>
      <c r="R65" s="45">
        <f>Q73</f>
        <v>548</v>
      </c>
      <c r="S65" s="42" t="str">
        <f>A73</f>
        <v>Latestoil</v>
      </c>
      <c r="T65" s="133">
        <f>SUM(T66:T68)</f>
        <v>477</v>
      </c>
      <c r="U65" s="45">
        <f>SUM(U66:U68)</f>
        <v>574</v>
      </c>
      <c r="V65" s="45">
        <f>U69</f>
        <v>556</v>
      </c>
      <c r="W65" s="42" t="str">
        <f>A69</f>
        <v>SADO</v>
      </c>
      <c r="X65" s="36">
        <f aca="true" t="shared" si="2" ref="X65:X88">E65+I65+M65+Q65+U65</f>
        <v>2713</v>
      </c>
      <c r="Y65" s="105">
        <f>SUM(Y66:Y68)</f>
        <v>2228</v>
      </c>
      <c r="Z65" s="37">
        <f>AVERAGE(Z66,Z67,Z68)</f>
        <v>180.86666666666667</v>
      </c>
      <c r="AA65" s="142">
        <f>AVERAGE(AA66,AA67,AA68)</f>
        <v>148.53333333333333</v>
      </c>
      <c r="AB65" s="219">
        <f>F66+J66+N66+R66+V66</f>
        <v>3</v>
      </c>
    </row>
    <row r="66" spans="1:28" s="38" customFormat="1" ht="15.75" customHeight="1">
      <c r="A66" s="222" t="s">
        <v>188</v>
      </c>
      <c r="B66" s="223"/>
      <c r="C66" s="150">
        <v>51</v>
      </c>
      <c r="D66" s="59">
        <v>137</v>
      </c>
      <c r="E66" s="50">
        <f>D66+C66</f>
        <v>188</v>
      </c>
      <c r="F66" s="224">
        <v>1</v>
      </c>
      <c r="G66" s="225"/>
      <c r="H66" s="97">
        <v>119</v>
      </c>
      <c r="I66" s="46">
        <f>H66+C66</f>
        <v>170</v>
      </c>
      <c r="J66" s="224">
        <v>0</v>
      </c>
      <c r="K66" s="225"/>
      <c r="L66" s="97">
        <v>160</v>
      </c>
      <c r="M66" s="50">
        <f>L66+C66</f>
        <v>211</v>
      </c>
      <c r="N66" s="224">
        <v>1</v>
      </c>
      <c r="O66" s="225"/>
      <c r="P66" s="97">
        <v>127</v>
      </c>
      <c r="Q66" s="50">
        <f>P66+C66</f>
        <v>178</v>
      </c>
      <c r="R66" s="224">
        <v>0</v>
      </c>
      <c r="S66" s="225"/>
      <c r="T66" s="97">
        <v>153</v>
      </c>
      <c r="U66" s="50">
        <f>T66+C66</f>
        <v>204</v>
      </c>
      <c r="V66" s="224">
        <v>1</v>
      </c>
      <c r="W66" s="225"/>
      <c r="X66" s="46">
        <f t="shared" si="2"/>
        <v>951</v>
      </c>
      <c r="Y66" s="106">
        <f>D66+H66+L66+P66+T66</f>
        <v>696</v>
      </c>
      <c r="Z66" s="67">
        <f>AVERAGE(E66,I66,M66,Q66,U66)</f>
        <v>190.2</v>
      </c>
      <c r="AA66" s="143">
        <f>AVERAGE(E66,I66,M66,Q66,U66)-C66</f>
        <v>139.2</v>
      </c>
      <c r="AB66" s="220"/>
    </row>
    <row r="67" spans="1:28" s="38" customFormat="1" ht="15.75" customHeight="1">
      <c r="A67" s="222" t="s">
        <v>190</v>
      </c>
      <c r="B67" s="223"/>
      <c r="C67" s="150">
        <v>20</v>
      </c>
      <c r="D67" s="59">
        <v>157</v>
      </c>
      <c r="E67" s="50">
        <f>D67+C67</f>
        <v>177</v>
      </c>
      <c r="F67" s="226"/>
      <c r="G67" s="227"/>
      <c r="H67" s="98">
        <v>130</v>
      </c>
      <c r="I67" s="46">
        <f>H67+C67</f>
        <v>150</v>
      </c>
      <c r="J67" s="226"/>
      <c r="K67" s="227"/>
      <c r="L67" s="98">
        <v>119</v>
      </c>
      <c r="M67" s="50">
        <f>L67+C67</f>
        <v>139</v>
      </c>
      <c r="N67" s="226"/>
      <c r="O67" s="227"/>
      <c r="P67" s="98">
        <v>178</v>
      </c>
      <c r="Q67" s="50">
        <f>P67+C67</f>
        <v>198</v>
      </c>
      <c r="R67" s="226"/>
      <c r="S67" s="227"/>
      <c r="T67" s="98">
        <v>160</v>
      </c>
      <c r="U67" s="50">
        <f>T67+C67</f>
        <v>180</v>
      </c>
      <c r="V67" s="226"/>
      <c r="W67" s="227"/>
      <c r="X67" s="46">
        <f t="shared" si="2"/>
        <v>844</v>
      </c>
      <c r="Y67" s="106">
        <f>D67+H67+L67+P67+T67</f>
        <v>744</v>
      </c>
      <c r="Z67" s="67">
        <f>AVERAGE(E67,I67,M67,Q67,U67)</f>
        <v>168.8</v>
      </c>
      <c r="AA67" s="143">
        <f>AVERAGE(E67,I67,M67,Q67,U67)-C67</f>
        <v>148.8</v>
      </c>
      <c r="AB67" s="220"/>
    </row>
    <row r="68" spans="1:28" s="38" customFormat="1" ht="16.5" customHeight="1" thickBot="1">
      <c r="A68" s="229" t="s">
        <v>279</v>
      </c>
      <c r="B68" s="230"/>
      <c r="C68" s="151">
        <v>26</v>
      </c>
      <c r="D68" s="60">
        <v>126</v>
      </c>
      <c r="E68" s="50">
        <f>D68+C68</f>
        <v>152</v>
      </c>
      <c r="F68" s="204"/>
      <c r="G68" s="228"/>
      <c r="H68" s="99">
        <v>169</v>
      </c>
      <c r="I68" s="46">
        <f>H68+C68</f>
        <v>195</v>
      </c>
      <c r="J68" s="204"/>
      <c r="K68" s="228"/>
      <c r="L68" s="99">
        <v>214</v>
      </c>
      <c r="M68" s="50">
        <f>L68+C68</f>
        <v>240</v>
      </c>
      <c r="N68" s="204"/>
      <c r="O68" s="228"/>
      <c r="P68" s="99">
        <v>115</v>
      </c>
      <c r="Q68" s="50">
        <f>P68+C68</f>
        <v>141</v>
      </c>
      <c r="R68" s="204"/>
      <c r="S68" s="228"/>
      <c r="T68" s="99">
        <v>164</v>
      </c>
      <c r="U68" s="50">
        <f>T68+C68</f>
        <v>190</v>
      </c>
      <c r="V68" s="204"/>
      <c r="W68" s="228"/>
      <c r="X68" s="47">
        <f t="shared" si="2"/>
        <v>918</v>
      </c>
      <c r="Y68" s="107">
        <f>D68+H68+L68+P68+T68</f>
        <v>788</v>
      </c>
      <c r="Z68" s="68">
        <f>AVERAGE(E68,I68,M68,Q68,U68)</f>
        <v>183.6</v>
      </c>
      <c r="AA68" s="144">
        <f>AVERAGE(E68,I68,M68,Q68,U68)-C68</f>
        <v>157.6</v>
      </c>
      <c r="AB68" s="221"/>
    </row>
    <row r="69" spans="1:28" s="38" customFormat="1" ht="41.25" customHeight="1">
      <c r="A69" s="217" t="s">
        <v>76</v>
      </c>
      <c r="B69" s="218"/>
      <c r="C69" s="149">
        <f>SUM(C70:C72)</f>
        <v>101</v>
      </c>
      <c r="D69" s="62">
        <f>SUM(D70:D72)</f>
        <v>432</v>
      </c>
      <c r="E69" s="45">
        <f>SUM(E70:E72)</f>
        <v>533</v>
      </c>
      <c r="F69" s="45">
        <f>E81</f>
        <v>510</v>
      </c>
      <c r="G69" s="42" t="str">
        <f>A81</f>
        <v>AVR Projekt</v>
      </c>
      <c r="H69" s="62">
        <f>SUM(H70:H72)</f>
        <v>371</v>
      </c>
      <c r="I69" s="45">
        <f>SUM(I70:I72)</f>
        <v>472</v>
      </c>
      <c r="J69" s="45">
        <f>I77</f>
        <v>544</v>
      </c>
      <c r="K69" s="42" t="str">
        <f>A77</f>
        <v>Uus Maa</v>
      </c>
      <c r="L69" s="133">
        <f>SUM(L70:L72)</f>
        <v>456</v>
      </c>
      <c r="M69" s="49">
        <f>SUM(M70:M72)</f>
        <v>557</v>
      </c>
      <c r="N69" s="45">
        <f>M73</f>
        <v>551</v>
      </c>
      <c r="O69" s="42" t="str">
        <f>A73</f>
        <v>Latestoil</v>
      </c>
      <c r="P69" s="45">
        <f>SUM(P70:P72)</f>
        <v>498</v>
      </c>
      <c r="Q69" s="49">
        <f>SUM(Q70:Q72)</f>
        <v>599</v>
      </c>
      <c r="R69" s="45">
        <f>Q85</f>
        <v>462</v>
      </c>
      <c r="S69" s="42" t="str">
        <f>A85</f>
        <v>Vest-Wood 3</v>
      </c>
      <c r="T69" s="133">
        <f>SUM(T70:T72)</f>
        <v>455</v>
      </c>
      <c r="U69" s="49">
        <f>SUM(U70:U72)</f>
        <v>556</v>
      </c>
      <c r="V69" s="45">
        <f>U65</f>
        <v>574</v>
      </c>
      <c r="W69" s="42" t="str">
        <f>A65</f>
        <v>Vest-Wood 1</v>
      </c>
      <c r="X69" s="36">
        <f t="shared" si="2"/>
        <v>2717</v>
      </c>
      <c r="Y69" s="105">
        <f>SUM(Y70:Y72)</f>
        <v>2212</v>
      </c>
      <c r="Z69" s="65">
        <f>AVERAGE(Z70,Z71,Z72)</f>
        <v>181.13333333333335</v>
      </c>
      <c r="AA69" s="142">
        <f>AVERAGE(AA70,AA71,AA72)</f>
        <v>147.46666666666667</v>
      </c>
      <c r="AB69" s="219">
        <f>F70+J70+N70+R70+V70</f>
        <v>3</v>
      </c>
    </row>
    <row r="70" spans="1:28" s="38" customFormat="1" ht="15.75" customHeight="1">
      <c r="A70" s="222" t="s">
        <v>286</v>
      </c>
      <c r="B70" s="223"/>
      <c r="C70" s="150">
        <v>31</v>
      </c>
      <c r="D70" s="59">
        <v>134</v>
      </c>
      <c r="E70" s="50">
        <f>D70+C70</f>
        <v>165</v>
      </c>
      <c r="F70" s="224">
        <v>1</v>
      </c>
      <c r="G70" s="225"/>
      <c r="H70" s="97">
        <v>121</v>
      </c>
      <c r="I70" s="46">
        <f>H70+C70</f>
        <v>152</v>
      </c>
      <c r="J70" s="224">
        <v>0</v>
      </c>
      <c r="K70" s="225"/>
      <c r="L70" s="97">
        <v>191</v>
      </c>
      <c r="M70" s="50">
        <f>L70+C70</f>
        <v>222</v>
      </c>
      <c r="N70" s="224">
        <v>1</v>
      </c>
      <c r="O70" s="225"/>
      <c r="P70" s="97">
        <v>166</v>
      </c>
      <c r="Q70" s="50">
        <f>P70+C70</f>
        <v>197</v>
      </c>
      <c r="R70" s="224">
        <v>1</v>
      </c>
      <c r="S70" s="225"/>
      <c r="T70" s="97">
        <v>147</v>
      </c>
      <c r="U70" s="50">
        <f>T70+C70</f>
        <v>178</v>
      </c>
      <c r="V70" s="224">
        <v>0</v>
      </c>
      <c r="W70" s="225"/>
      <c r="X70" s="46">
        <f t="shared" si="2"/>
        <v>914</v>
      </c>
      <c r="Y70" s="106">
        <f>D70+H70+L70+P70+T70</f>
        <v>759</v>
      </c>
      <c r="Z70" s="67">
        <f>AVERAGE(E70,I70,M70,Q70,U70)</f>
        <v>182.8</v>
      </c>
      <c r="AA70" s="143">
        <f>AVERAGE(E70,I70,M70,Q70,U70)-C70</f>
        <v>151.8</v>
      </c>
      <c r="AB70" s="220"/>
    </row>
    <row r="71" spans="1:28" s="38" customFormat="1" ht="15.75" customHeight="1">
      <c r="A71" s="222" t="s">
        <v>98</v>
      </c>
      <c r="B71" s="223"/>
      <c r="C71" s="150">
        <v>49</v>
      </c>
      <c r="D71" s="59">
        <v>113</v>
      </c>
      <c r="E71" s="50">
        <f>D71+C71</f>
        <v>162</v>
      </c>
      <c r="F71" s="226"/>
      <c r="G71" s="227"/>
      <c r="H71" s="98">
        <v>112</v>
      </c>
      <c r="I71" s="46">
        <f>H71+C71</f>
        <v>161</v>
      </c>
      <c r="J71" s="226"/>
      <c r="K71" s="227"/>
      <c r="L71" s="98">
        <v>100</v>
      </c>
      <c r="M71" s="50">
        <f>L71+C71</f>
        <v>149</v>
      </c>
      <c r="N71" s="226"/>
      <c r="O71" s="227"/>
      <c r="P71" s="98">
        <v>119</v>
      </c>
      <c r="Q71" s="50">
        <f>P71+C71</f>
        <v>168</v>
      </c>
      <c r="R71" s="226"/>
      <c r="S71" s="227"/>
      <c r="T71" s="98">
        <v>128</v>
      </c>
      <c r="U71" s="50">
        <f>T71+C71</f>
        <v>177</v>
      </c>
      <c r="V71" s="226"/>
      <c r="W71" s="227"/>
      <c r="X71" s="46">
        <f t="shared" si="2"/>
        <v>817</v>
      </c>
      <c r="Y71" s="106">
        <f>D71+H71+L71+P71+T71</f>
        <v>572</v>
      </c>
      <c r="Z71" s="67">
        <f>AVERAGE(E71,I71,M71,Q71,U71)</f>
        <v>163.4</v>
      </c>
      <c r="AA71" s="143">
        <f>AVERAGE(E71,I71,M71,Q71,U71)-C71</f>
        <v>114.4</v>
      </c>
      <c r="AB71" s="220"/>
    </row>
    <row r="72" spans="1:28" s="38" customFormat="1" ht="15.75" customHeight="1" thickBot="1">
      <c r="A72" s="229" t="s">
        <v>91</v>
      </c>
      <c r="B72" s="230"/>
      <c r="C72" s="151">
        <v>21</v>
      </c>
      <c r="D72" s="60">
        <v>185</v>
      </c>
      <c r="E72" s="50">
        <f>D72+C72</f>
        <v>206</v>
      </c>
      <c r="F72" s="204"/>
      <c r="G72" s="228"/>
      <c r="H72" s="99">
        <v>138</v>
      </c>
      <c r="I72" s="46">
        <f>H72+C72</f>
        <v>159</v>
      </c>
      <c r="J72" s="204"/>
      <c r="K72" s="228"/>
      <c r="L72" s="99">
        <v>165</v>
      </c>
      <c r="M72" s="50">
        <f>L72+C72</f>
        <v>186</v>
      </c>
      <c r="N72" s="204"/>
      <c r="O72" s="228"/>
      <c r="P72" s="99">
        <v>213</v>
      </c>
      <c r="Q72" s="50">
        <f>P72+C72</f>
        <v>234</v>
      </c>
      <c r="R72" s="204"/>
      <c r="S72" s="228"/>
      <c r="T72" s="99">
        <v>180</v>
      </c>
      <c r="U72" s="50">
        <f>T72+C72</f>
        <v>201</v>
      </c>
      <c r="V72" s="204"/>
      <c r="W72" s="228"/>
      <c r="X72" s="47">
        <f t="shared" si="2"/>
        <v>986</v>
      </c>
      <c r="Y72" s="107">
        <f>D72+H72+L72+P72+T72</f>
        <v>881</v>
      </c>
      <c r="Z72" s="68">
        <f>AVERAGE(E72,I72,M72,Q72,U72)</f>
        <v>197.2</v>
      </c>
      <c r="AA72" s="144">
        <f>AVERAGE(E72,I72,M72,Q72,U72)-C72</f>
        <v>176.2</v>
      </c>
      <c r="AB72" s="221"/>
    </row>
    <row r="73" spans="1:28" s="38" customFormat="1" ht="47.25" customHeight="1">
      <c r="A73" s="217" t="s">
        <v>69</v>
      </c>
      <c r="B73" s="218"/>
      <c r="C73" s="149">
        <f>SUM(C74:C76)</f>
        <v>54</v>
      </c>
      <c r="D73" s="62">
        <f>SUM(D74:D76)</f>
        <v>485</v>
      </c>
      <c r="E73" s="45">
        <f>SUM(E74:E76)</f>
        <v>539</v>
      </c>
      <c r="F73" s="45">
        <f>E77</f>
        <v>547</v>
      </c>
      <c r="G73" s="42" t="str">
        <f>A77</f>
        <v>Uus Maa</v>
      </c>
      <c r="H73" s="62">
        <f>SUM(H74:H76)</f>
        <v>486</v>
      </c>
      <c r="I73" s="45">
        <f>SUM(I74:I76)</f>
        <v>540</v>
      </c>
      <c r="J73" s="45">
        <f>I85</f>
        <v>499</v>
      </c>
      <c r="K73" s="42" t="str">
        <f>A85</f>
        <v>Vest-Wood 3</v>
      </c>
      <c r="L73" s="133">
        <f>SUM(L74:L76)</f>
        <v>497</v>
      </c>
      <c r="M73" s="69">
        <f>SUM(M74:M76)</f>
        <v>551</v>
      </c>
      <c r="N73" s="45">
        <f>M69</f>
        <v>557</v>
      </c>
      <c r="O73" s="42" t="str">
        <f>A69</f>
        <v>SADO</v>
      </c>
      <c r="P73" s="45">
        <f>SUM(P74:P76)</f>
        <v>494</v>
      </c>
      <c r="Q73" s="49">
        <f>SUM(Q74:Q76)</f>
        <v>548</v>
      </c>
      <c r="R73" s="45">
        <f>Q65</f>
        <v>517</v>
      </c>
      <c r="S73" s="42" t="str">
        <f>A65</f>
        <v>Vest-Wood 1</v>
      </c>
      <c r="T73" s="133">
        <f>SUM(T74:T76)</f>
        <v>512</v>
      </c>
      <c r="U73" s="69">
        <f>SUM(U74:U76)</f>
        <v>566</v>
      </c>
      <c r="V73" s="45">
        <f>U81</f>
        <v>495</v>
      </c>
      <c r="W73" s="42" t="str">
        <f>A81</f>
        <v>AVR Projekt</v>
      </c>
      <c r="X73" s="36">
        <f t="shared" si="2"/>
        <v>2744</v>
      </c>
      <c r="Y73" s="105">
        <f>SUM(Y74:Y76)</f>
        <v>2474</v>
      </c>
      <c r="Z73" s="65">
        <f>AVERAGE(Z74,Z75,Z76)</f>
        <v>182.9333333333333</v>
      </c>
      <c r="AA73" s="142">
        <f>AVERAGE(AA74,AA75,AA76)</f>
        <v>164.93333333333334</v>
      </c>
      <c r="AB73" s="219">
        <f>F74+J74+N74+R74+V74</f>
        <v>3</v>
      </c>
    </row>
    <row r="74" spans="1:28" s="38" customFormat="1" ht="15.75" customHeight="1">
      <c r="A74" s="222" t="s">
        <v>27</v>
      </c>
      <c r="B74" s="223"/>
      <c r="C74" s="150">
        <v>22</v>
      </c>
      <c r="D74" s="59">
        <v>155</v>
      </c>
      <c r="E74" s="50">
        <f>D74+C74</f>
        <v>177</v>
      </c>
      <c r="F74" s="224">
        <v>0</v>
      </c>
      <c r="G74" s="225"/>
      <c r="H74" s="97">
        <v>128</v>
      </c>
      <c r="I74" s="46">
        <f>H74+C74</f>
        <v>150</v>
      </c>
      <c r="J74" s="224">
        <v>1</v>
      </c>
      <c r="K74" s="225"/>
      <c r="L74" s="97">
        <v>197</v>
      </c>
      <c r="M74" s="50">
        <f>L74+C74</f>
        <v>219</v>
      </c>
      <c r="N74" s="224">
        <v>0</v>
      </c>
      <c r="O74" s="225"/>
      <c r="P74" s="97">
        <v>179</v>
      </c>
      <c r="Q74" s="50">
        <f>P74+C74</f>
        <v>201</v>
      </c>
      <c r="R74" s="224">
        <v>1</v>
      </c>
      <c r="S74" s="225"/>
      <c r="T74" s="97">
        <v>155</v>
      </c>
      <c r="U74" s="50">
        <f>T74+C74</f>
        <v>177</v>
      </c>
      <c r="V74" s="224">
        <v>1</v>
      </c>
      <c r="W74" s="225"/>
      <c r="X74" s="46">
        <f t="shared" si="2"/>
        <v>924</v>
      </c>
      <c r="Y74" s="106">
        <f>D74+H74+L74+P74+T74</f>
        <v>814</v>
      </c>
      <c r="Z74" s="67">
        <f>AVERAGE(E74,I74,M74,Q74,U74)</f>
        <v>184.8</v>
      </c>
      <c r="AA74" s="143">
        <f>AVERAGE(E74,I74,M74,Q74,U74)-C74</f>
        <v>162.8</v>
      </c>
      <c r="AB74" s="220"/>
    </row>
    <row r="75" spans="1:28" s="38" customFormat="1" ht="15.75" customHeight="1">
      <c r="A75" s="222" t="s">
        <v>29</v>
      </c>
      <c r="B75" s="223"/>
      <c r="C75" s="150">
        <v>24</v>
      </c>
      <c r="D75" s="59">
        <v>157</v>
      </c>
      <c r="E75" s="50">
        <f>D75+C75</f>
        <v>181</v>
      </c>
      <c r="F75" s="226"/>
      <c r="G75" s="227"/>
      <c r="H75" s="98">
        <v>170</v>
      </c>
      <c r="I75" s="46">
        <f>H75+C75</f>
        <v>194</v>
      </c>
      <c r="J75" s="226"/>
      <c r="K75" s="227"/>
      <c r="L75" s="98">
        <v>117</v>
      </c>
      <c r="M75" s="50">
        <f>L75+C75</f>
        <v>141</v>
      </c>
      <c r="N75" s="226"/>
      <c r="O75" s="227"/>
      <c r="P75" s="98">
        <v>134</v>
      </c>
      <c r="Q75" s="50">
        <f>P75+C75</f>
        <v>158</v>
      </c>
      <c r="R75" s="226"/>
      <c r="S75" s="227"/>
      <c r="T75" s="98">
        <v>132</v>
      </c>
      <c r="U75" s="50">
        <f>T75+C75</f>
        <v>156</v>
      </c>
      <c r="V75" s="226"/>
      <c r="W75" s="227"/>
      <c r="X75" s="46">
        <f t="shared" si="2"/>
        <v>830</v>
      </c>
      <c r="Y75" s="106">
        <f>D75+H75+L75+P75+T75</f>
        <v>710</v>
      </c>
      <c r="Z75" s="67">
        <f>AVERAGE(E75,I75,M75,Q75,U75)</f>
        <v>166</v>
      </c>
      <c r="AA75" s="143">
        <f>AVERAGE(E75,I75,M75,Q75,U75)-C75</f>
        <v>142</v>
      </c>
      <c r="AB75" s="220"/>
    </row>
    <row r="76" spans="1:28" s="38" customFormat="1" ht="15.75" customHeight="1" thickBot="1">
      <c r="A76" s="229" t="s">
        <v>26</v>
      </c>
      <c r="B76" s="230"/>
      <c r="C76" s="151">
        <v>8</v>
      </c>
      <c r="D76" s="60">
        <v>173</v>
      </c>
      <c r="E76" s="50">
        <f>D76+C76</f>
        <v>181</v>
      </c>
      <c r="F76" s="204"/>
      <c r="G76" s="228"/>
      <c r="H76" s="99">
        <v>188</v>
      </c>
      <c r="I76" s="46">
        <f>H76+C76</f>
        <v>196</v>
      </c>
      <c r="J76" s="204"/>
      <c r="K76" s="228"/>
      <c r="L76" s="99">
        <v>183</v>
      </c>
      <c r="M76" s="50">
        <f>L76+C76</f>
        <v>191</v>
      </c>
      <c r="N76" s="204"/>
      <c r="O76" s="228"/>
      <c r="P76" s="99">
        <v>181</v>
      </c>
      <c r="Q76" s="50">
        <f>P76+C76</f>
        <v>189</v>
      </c>
      <c r="R76" s="204"/>
      <c r="S76" s="228"/>
      <c r="T76" s="99">
        <v>225</v>
      </c>
      <c r="U76" s="50">
        <f>T76+C76</f>
        <v>233</v>
      </c>
      <c r="V76" s="204"/>
      <c r="W76" s="228"/>
      <c r="X76" s="47">
        <f t="shared" si="2"/>
        <v>990</v>
      </c>
      <c r="Y76" s="107">
        <f>D76+H76+L76+P76+T76</f>
        <v>950</v>
      </c>
      <c r="Z76" s="68">
        <f>AVERAGE(E76,I76,M76,Q76,U76)</f>
        <v>198</v>
      </c>
      <c r="AA76" s="144">
        <f>AVERAGE(E76,I76,M76,Q76,U76)-C76</f>
        <v>190</v>
      </c>
      <c r="AB76" s="221"/>
    </row>
    <row r="77" spans="1:28" s="38" customFormat="1" ht="39" customHeight="1">
      <c r="A77" s="217" t="s">
        <v>130</v>
      </c>
      <c r="B77" s="218"/>
      <c r="C77" s="149">
        <f>SUM(C78:C80)</f>
        <v>115</v>
      </c>
      <c r="D77" s="62">
        <f>SUM(D78:D80)</f>
        <v>432</v>
      </c>
      <c r="E77" s="45">
        <f>SUM(E78:E80)</f>
        <v>547</v>
      </c>
      <c r="F77" s="45">
        <f>E73</f>
        <v>539</v>
      </c>
      <c r="G77" s="42" t="str">
        <f>A73</f>
        <v>Latestoil</v>
      </c>
      <c r="H77" s="62">
        <f>SUM(H78:H80)</f>
        <v>429</v>
      </c>
      <c r="I77" s="45">
        <f>SUM(I78:I80)</f>
        <v>544</v>
      </c>
      <c r="J77" s="45">
        <f>I69</f>
        <v>472</v>
      </c>
      <c r="K77" s="42" t="str">
        <f>A69</f>
        <v>SADO</v>
      </c>
      <c r="L77" s="133">
        <f>SUM(L78:L80)</f>
        <v>450</v>
      </c>
      <c r="M77" s="49">
        <f>SUM(M78:M80)</f>
        <v>565</v>
      </c>
      <c r="N77" s="45">
        <f>M65</f>
        <v>590</v>
      </c>
      <c r="O77" s="42" t="str">
        <f>A65</f>
        <v>Vest-Wood 1</v>
      </c>
      <c r="P77" s="45">
        <f>SUM(P78:P80)</f>
        <v>411</v>
      </c>
      <c r="Q77" s="49">
        <f>SUM(Q78:Q80)</f>
        <v>526</v>
      </c>
      <c r="R77" s="45">
        <f>Q81</f>
        <v>561</v>
      </c>
      <c r="S77" s="42" t="str">
        <f>A81</f>
        <v>AVR Projekt</v>
      </c>
      <c r="T77" s="133">
        <f>SUM(T78:T80)</f>
        <v>449</v>
      </c>
      <c r="U77" s="49">
        <f>SUM(U78:U80)</f>
        <v>564</v>
      </c>
      <c r="V77" s="45">
        <f>U85</f>
        <v>588</v>
      </c>
      <c r="W77" s="42" t="str">
        <f>A85</f>
        <v>Vest-Wood 3</v>
      </c>
      <c r="X77" s="36">
        <f t="shared" si="2"/>
        <v>2746</v>
      </c>
      <c r="Y77" s="105">
        <f>SUM(Y78:Y80)</f>
        <v>2171</v>
      </c>
      <c r="Z77" s="65">
        <f>AVERAGE(Z78,Z79,Z80)</f>
        <v>183.0666666666667</v>
      </c>
      <c r="AA77" s="142">
        <f>AVERAGE(AA78,AA79,AA80)</f>
        <v>144.73333333333332</v>
      </c>
      <c r="AB77" s="219">
        <f>F78+J78+N78+R78+V78</f>
        <v>2</v>
      </c>
    </row>
    <row r="78" spans="1:28" s="38" customFormat="1" ht="15.75" customHeight="1">
      <c r="A78" s="222" t="s">
        <v>295</v>
      </c>
      <c r="B78" s="223"/>
      <c r="C78" s="150">
        <v>38</v>
      </c>
      <c r="D78" s="59">
        <v>151</v>
      </c>
      <c r="E78" s="50">
        <f>D78+C78</f>
        <v>189</v>
      </c>
      <c r="F78" s="224">
        <v>1</v>
      </c>
      <c r="G78" s="225"/>
      <c r="H78" s="97">
        <v>116</v>
      </c>
      <c r="I78" s="46">
        <f>H78+C78</f>
        <v>154</v>
      </c>
      <c r="J78" s="224">
        <v>1</v>
      </c>
      <c r="K78" s="225"/>
      <c r="L78" s="97">
        <v>138</v>
      </c>
      <c r="M78" s="50">
        <f>L78+C78</f>
        <v>176</v>
      </c>
      <c r="N78" s="224">
        <v>0</v>
      </c>
      <c r="O78" s="225"/>
      <c r="P78" s="97">
        <v>160</v>
      </c>
      <c r="Q78" s="50">
        <f>P78+C78</f>
        <v>198</v>
      </c>
      <c r="R78" s="224">
        <v>0</v>
      </c>
      <c r="S78" s="225"/>
      <c r="T78" s="97">
        <v>135</v>
      </c>
      <c r="U78" s="50">
        <f>T78+C78</f>
        <v>173</v>
      </c>
      <c r="V78" s="224">
        <v>0</v>
      </c>
      <c r="W78" s="225"/>
      <c r="X78" s="46">
        <f t="shared" si="2"/>
        <v>890</v>
      </c>
      <c r="Y78" s="106">
        <f>D78+H78+L78+P78+T78</f>
        <v>700</v>
      </c>
      <c r="Z78" s="67">
        <f>AVERAGE(E78,I78,M78,Q78,U78)</f>
        <v>178</v>
      </c>
      <c r="AA78" s="143">
        <f>AVERAGE(E78,I78,M78,Q78,U78)-C78</f>
        <v>140</v>
      </c>
      <c r="AB78" s="220"/>
    </row>
    <row r="79" spans="1:28" s="38" customFormat="1" ht="15.75" customHeight="1">
      <c r="A79" s="222" t="s">
        <v>122</v>
      </c>
      <c r="B79" s="223"/>
      <c r="C79" s="150">
        <v>46</v>
      </c>
      <c r="D79" s="59">
        <v>139</v>
      </c>
      <c r="E79" s="50">
        <f>D79+C79</f>
        <v>185</v>
      </c>
      <c r="F79" s="226"/>
      <c r="G79" s="227"/>
      <c r="H79" s="98">
        <v>159</v>
      </c>
      <c r="I79" s="46">
        <f>H79+C79</f>
        <v>205</v>
      </c>
      <c r="J79" s="226"/>
      <c r="K79" s="227"/>
      <c r="L79" s="98">
        <v>155</v>
      </c>
      <c r="M79" s="50">
        <f>L79+C79</f>
        <v>201</v>
      </c>
      <c r="N79" s="226"/>
      <c r="O79" s="227"/>
      <c r="P79" s="98">
        <v>115</v>
      </c>
      <c r="Q79" s="50">
        <f>P79+C79</f>
        <v>161</v>
      </c>
      <c r="R79" s="226"/>
      <c r="S79" s="227"/>
      <c r="T79" s="98">
        <v>138</v>
      </c>
      <c r="U79" s="50">
        <f>T79+C79</f>
        <v>184</v>
      </c>
      <c r="V79" s="226"/>
      <c r="W79" s="227"/>
      <c r="X79" s="46">
        <f t="shared" si="2"/>
        <v>936</v>
      </c>
      <c r="Y79" s="106">
        <f>D79+H79+L79+P79+T79</f>
        <v>706</v>
      </c>
      <c r="Z79" s="67">
        <f>AVERAGE(E79,I79,M79,Q79,U79)</f>
        <v>187.2</v>
      </c>
      <c r="AA79" s="143">
        <f>AVERAGE(E79,I79,M79,Q79,U79)-C79</f>
        <v>141.2</v>
      </c>
      <c r="AB79" s="220"/>
    </row>
    <row r="80" spans="1:29" s="38" customFormat="1" ht="15.75" customHeight="1" thickBot="1">
      <c r="A80" s="229" t="s">
        <v>129</v>
      </c>
      <c r="B80" s="230"/>
      <c r="C80" s="151">
        <v>31</v>
      </c>
      <c r="D80" s="60">
        <v>142</v>
      </c>
      <c r="E80" s="50">
        <f>D80+C80</f>
        <v>173</v>
      </c>
      <c r="F80" s="204"/>
      <c r="G80" s="228"/>
      <c r="H80" s="99">
        <v>154</v>
      </c>
      <c r="I80" s="46">
        <f>H80+C80</f>
        <v>185</v>
      </c>
      <c r="J80" s="204"/>
      <c r="K80" s="228"/>
      <c r="L80" s="99">
        <v>157</v>
      </c>
      <c r="M80" s="50">
        <f>L80+C80</f>
        <v>188</v>
      </c>
      <c r="N80" s="204"/>
      <c r="O80" s="228"/>
      <c r="P80" s="99">
        <v>136</v>
      </c>
      <c r="Q80" s="50">
        <f>P80+C80</f>
        <v>167</v>
      </c>
      <c r="R80" s="204"/>
      <c r="S80" s="228"/>
      <c r="T80" s="99">
        <v>176</v>
      </c>
      <c r="U80" s="50">
        <f>T80+C80</f>
        <v>207</v>
      </c>
      <c r="V80" s="204"/>
      <c r="W80" s="228"/>
      <c r="X80" s="47">
        <f t="shared" si="2"/>
        <v>920</v>
      </c>
      <c r="Y80" s="107">
        <f>D80+H80+L80+P80+T80</f>
        <v>765</v>
      </c>
      <c r="Z80" s="68">
        <f>AVERAGE(E80,I80,M80,Q80,U80)</f>
        <v>184</v>
      </c>
      <c r="AA80" s="144">
        <f>AVERAGE(E80,I80,M80,Q80,U80)-C80</f>
        <v>153</v>
      </c>
      <c r="AB80" s="221"/>
      <c r="AC80" s="44"/>
    </row>
    <row r="81" spans="1:28" s="38" customFormat="1" ht="53.25" customHeight="1">
      <c r="A81" s="217" t="s">
        <v>163</v>
      </c>
      <c r="B81" s="218"/>
      <c r="C81" s="149">
        <f>SUM(C82:C84)</f>
        <v>164</v>
      </c>
      <c r="D81" s="62">
        <f>SUM(D82:D84)</f>
        <v>346</v>
      </c>
      <c r="E81" s="45">
        <f>SUM(E82:E84)</f>
        <v>510</v>
      </c>
      <c r="F81" s="45">
        <f>E69</f>
        <v>533</v>
      </c>
      <c r="G81" s="42" t="str">
        <f>A69</f>
        <v>SADO</v>
      </c>
      <c r="H81" s="62">
        <f>SUM(H82:H84)</f>
        <v>364</v>
      </c>
      <c r="I81" s="45">
        <f>SUM(I82:I84)</f>
        <v>528</v>
      </c>
      <c r="J81" s="45">
        <f>I65</f>
        <v>515</v>
      </c>
      <c r="K81" s="42" t="str">
        <f>A65</f>
        <v>Vest-Wood 1</v>
      </c>
      <c r="L81" s="133">
        <f>SUM(L82:L84)</f>
        <v>423</v>
      </c>
      <c r="M81" s="69">
        <f>SUM(M82:M84)</f>
        <v>587</v>
      </c>
      <c r="N81" s="45">
        <f>M85</f>
        <v>505</v>
      </c>
      <c r="O81" s="42" t="str">
        <f>A85</f>
        <v>Vest-Wood 3</v>
      </c>
      <c r="P81" s="45">
        <f>SUM(P82:P84)</f>
        <v>397</v>
      </c>
      <c r="Q81" s="69">
        <f>SUM(Q82:Q84)</f>
        <v>561</v>
      </c>
      <c r="R81" s="45">
        <f>Q77</f>
        <v>526</v>
      </c>
      <c r="S81" s="42" t="str">
        <f>A77</f>
        <v>Uus Maa</v>
      </c>
      <c r="T81" s="133">
        <f>SUM(T82:T84)</f>
        <v>331</v>
      </c>
      <c r="U81" s="69">
        <f>SUM(U82:U84)</f>
        <v>495</v>
      </c>
      <c r="V81" s="45">
        <f>U73</f>
        <v>566</v>
      </c>
      <c r="W81" s="42" t="str">
        <f>A73</f>
        <v>Latestoil</v>
      </c>
      <c r="X81" s="36">
        <f t="shared" si="2"/>
        <v>2681</v>
      </c>
      <c r="Y81" s="105">
        <f>SUM(Y82:Y84)</f>
        <v>1861</v>
      </c>
      <c r="Z81" s="65">
        <f>AVERAGE(Z82,Z83,Z84)</f>
        <v>178.73333333333335</v>
      </c>
      <c r="AA81" s="142">
        <f>AVERAGE(AA82,AA83,AA84)</f>
        <v>124.06666666666666</v>
      </c>
      <c r="AB81" s="219">
        <f>F82+J82+N82+R82+V82</f>
        <v>3</v>
      </c>
    </row>
    <row r="82" spans="1:28" s="38" customFormat="1" ht="15.75" customHeight="1">
      <c r="A82" s="222" t="s">
        <v>156</v>
      </c>
      <c r="B82" s="223"/>
      <c r="C82" s="150">
        <v>60</v>
      </c>
      <c r="D82" s="59">
        <v>90</v>
      </c>
      <c r="E82" s="50">
        <f>D82+C82</f>
        <v>150</v>
      </c>
      <c r="F82" s="224">
        <v>0</v>
      </c>
      <c r="G82" s="225"/>
      <c r="H82" s="97">
        <v>88</v>
      </c>
      <c r="I82" s="46">
        <f>H82+C82</f>
        <v>148</v>
      </c>
      <c r="J82" s="224">
        <v>1</v>
      </c>
      <c r="K82" s="225"/>
      <c r="L82" s="97">
        <v>124</v>
      </c>
      <c r="M82" s="50">
        <f>L82+C82</f>
        <v>184</v>
      </c>
      <c r="N82" s="224">
        <v>1</v>
      </c>
      <c r="O82" s="225"/>
      <c r="P82" s="97">
        <v>132</v>
      </c>
      <c r="Q82" s="50">
        <f>P82+C82</f>
        <v>192</v>
      </c>
      <c r="R82" s="224">
        <v>1</v>
      </c>
      <c r="S82" s="225"/>
      <c r="T82" s="97">
        <v>111</v>
      </c>
      <c r="U82" s="50">
        <f>T82+C82</f>
        <v>171</v>
      </c>
      <c r="V82" s="224">
        <v>0</v>
      </c>
      <c r="W82" s="225"/>
      <c r="X82" s="46">
        <f t="shared" si="2"/>
        <v>845</v>
      </c>
      <c r="Y82" s="106">
        <f>D82+H82+L82+P82+T82</f>
        <v>545</v>
      </c>
      <c r="Z82" s="67">
        <f>AVERAGE(E82,I82,M82,Q82,U82)</f>
        <v>169</v>
      </c>
      <c r="AA82" s="143">
        <f>AVERAGE(E82,I82,M82,Q82,U82)-C82</f>
        <v>109</v>
      </c>
      <c r="AB82" s="220"/>
    </row>
    <row r="83" spans="1:28" s="38" customFormat="1" ht="15.75" customHeight="1">
      <c r="A83" s="222" t="s">
        <v>157</v>
      </c>
      <c r="B83" s="223"/>
      <c r="C83" s="150">
        <v>51</v>
      </c>
      <c r="D83" s="59">
        <v>108</v>
      </c>
      <c r="E83" s="50">
        <f>D83+C83</f>
        <v>159</v>
      </c>
      <c r="F83" s="226"/>
      <c r="G83" s="227"/>
      <c r="H83" s="98">
        <v>145</v>
      </c>
      <c r="I83" s="46">
        <f>H83+C83</f>
        <v>196</v>
      </c>
      <c r="J83" s="226"/>
      <c r="K83" s="227"/>
      <c r="L83" s="98">
        <v>141</v>
      </c>
      <c r="M83" s="50">
        <f>L83+C83</f>
        <v>192</v>
      </c>
      <c r="N83" s="226"/>
      <c r="O83" s="227"/>
      <c r="P83" s="98">
        <v>135</v>
      </c>
      <c r="Q83" s="50">
        <f>P83+C83</f>
        <v>186</v>
      </c>
      <c r="R83" s="226"/>
      <c r="S83" s="227"/>
      <c r="T83" s="98">
        <v>101</v>
      </c>
      <c r="U83" s="50">
        <f>T83+C83</f>
        <v>152</v>
      </c>
      <c r="V83" s="226"/>
      <c r="W83" s="227"/>
      <c r="X83" s="46">
        <f t="shared" si="2"/>
        <v>885</v>
      </c>
      <c r="Y83" s="106">
        <f>D83+H83+L83+P83+T83</f>
        <v>630</v>
      </c>
      <c r="Z83" s="67">
        <f>AVERAGE(E83,I83,M83,Q83,U83)</f>
        <v>177</v>
      </c>
      <c r="AA83" s="143">
        <f>AVERAGE(E83,I83,M83,Q83,U83)-C83</f>
        <v>126</v>
      </c>
      <c r="AB83" s="220"/>
    </row>
    <row r="84" spans="1:28" s="38" customFormat="1" ht="15.75" customHeight="1" thickBot="1">
      <c r="A84" s="229" t="s">
        <v>158</v>
      </c>
      <c r="B84" s="230"/>
      <c r="C84" s="151">
        <v>53</v>
      </c>
      <c r="D84" s="60">
        <v>148</v>
      </c>
      <c r="E84" s="50">
        <f>D84+C84</f>
        <v>201</v>
      </c>
      <c r="F84" s="204"/>
      <c r="G84" s="228"/>
      <c r="H84" s="99">
        <v>131</v>
      </c>
      <c r="I84" s="46">
        <f>H84+C84</f>
        <v>184</v>
      </c>
      <c r="J84" s="204"/>
      <c r="K84" s="228"/>
      <c r="L84" s="99">
        <v>158</v>
      </c>
      <c r="M84" s="50">
        <f>L84+C84</f>
        <v>211</v>
      </c>
      <c r="N84" s="204"/>
      <c r="O84" s="228"/>
      <c r="P84" s="99">
        <v>130</v>
      </c>
      <c r="Q84" s="50">
        <f>P84+C84</f>
        <v>183</v>
      </c>
      <c r="R84" s="204"/>
      <c r="S84" s="228"/>
      <c r="T84" s="99">
        <v>119</v>
      </c>
      <c r="U84" s="50">
        <f>T84+C84</f>
        <v>172</v>
      </c>
      <c r="V84" s="204"/>
      <c r="W84" s="228"/>
      <c r="X84" s="47">
        <f t="shared" si="2"/>
        <v>951</v>
      </c>
      <c r="Y84" s="107">
        <f>D84+H84+L84+P84+T84</f>
        <v>686</v>
      </c>
      <c r="Z84" s="68">
        <f>AVERAGE(E84,I84,M84,Q84,U84)</f>
        <v>190.2</v>
      </c>
      <c r="AA84" s="144">
        <f>AVERAGE(E84,I84,M84,Q84,U84)-C84</f>
        <v>137.2</v>
      </c>
      <c r="AB84" s="221"/>
    </row>
    <row r="85" spans="1:28" s="38" customFormat="1" ht="42" customHeight="1">
      <c r="A85" s="217" t="s">
        <v>74</v>
      </c>
      <c r="B85" s="218"/>
      <c r="C85" s="149">
        <f>SUM(C86:C88)</f>
        <v>134</v>
      </c>
      <c r="D85" s="62">
        <f>SUM(D86:D88)</f>
        <v>357</v>
      </c>
      <c r="E85" s="45">
        <f>SUM(E86:E88)</f>
        <v>491</v>
      </c>
      <c r="F85" s="45">
        <f>E65</f>
        <v>517</v>
      </c>
      <c r="G85" s="42" t="str">
        <f>A65</f>
        <v>Vest-Wood 1</v>
      </c>
      <c r="H85" s="62">
        <f>SUM(H86:H88)</f>
        <v>365</v>
      </c>
      <c r="I85" s="45">
        <f>SUM(I86:I88)</f>
        <v>499</v>
      </c>
      <c r="J85" s="45">
        <f>I73</f>
        <v>540</v>
      </c>
      <c r="K85" s="42" t="str">
        <f>A73</f>
        <v>Latestoil</v>
      </c>
      <c r="L85" s="133">
        <f>SUM(L86:L88)</f>
        <v>371</v>
      </c>
      <c r="M85" s="49">
        <f>SUM(M86:M88)</f>
        <v>505</v>
      </c>
      <c r="N85" s="45">
        <f>M81</f>
        <v>587</v>
      </c>
      <c r="O85" s="42" t="str">
        <f>A81</f>
        <v>AVR Projekt</v>
      </c>
      <c r="P85" s="45">
        <f>SUM(P86:P88)</f>
        <v>328</v>
      </c>
      <c r="Q85" s="49">
        <f>SUM(Q86:Q88)</f>
        <v>462</v>
      </c>
      <c r="R85" s="45">
        <f>Q69</f>
        <v>599</v>
      </c>
      <c r="S85" s="42" t="str">
        <f>A69</f>
        <v>SADO</v>
      </c>
      <c r="T85" s="133">
        <f>SUM(T86:T88)</f>
        <v>454</v>
      </c>
      <c r="U85" s="49">
        <f>SUM(U86:U88)</f>
        <v>588</v>
      </c>
      <c r="V85" s="45">
        <f>U77</f>
        <v>564</v>
      </c>
      <c r="W85" s="42" t="str">
        <f>A77</f>
        <v>Uus Maa</v>
      </c>
      <c r="X85" s="36">
        <f t="shared" si="2"/>
        <v>2545</v>
      </c>
      <c r="Y85" s="105">
        <f>SUM(Y86:Y88)</f>
        <v>1875</v>
      </c>
      <c r="Z85" s="65">
        <f>AVERAGE(Z86,Z87,Z88)</f>
        <v>169.66666666666666</v>
      </c>
      <c r="AA85" s="142">
        <f>AVERAGE(AA86,AA87,AA88)</f>
        <v>125</v>
      </c>
      <c r="AB85" s="219">
        <f>F86+J86+N86+R86+V86</f>
        <v>1</v>
      </c>
    </row>
    <row r="86" spans="1:28" s="38" customFormat="1" ht="15.75" customHeight="1">
      <c r="A86" s="222" t="s">
        <v>83</v>
      </c>
      <c r="B86" s="223"/>
      <c r="C86" s="150">
        <v>39</v>
      </c>
      <c r="D86" s="59">
        <v>130</v>
      </c>
      <c r="E86" s="50">
        <f>D86+C86</f>
        <v>169</v>
      </c>
      <c r="F86" s="224">
        <v>0</v>
      </c>
      <c r="G86" s="225"/>
      <c r="H86" s="97">
        <v>142</v>
      </c>
      <c r="I86" s="46">
        <f>H86+C86</f>
        <v>181</v>
      </c>
      <c r="J86" s="224">
        <v>0</v>
      </c>
      <c r="K86" s="225"/>
      <c r="L86" s="97">
        <v>150</v>
      </c>
      <c r="M86" s="50">
        <f>L86+C86</f>
        <v>189</v>
      </c>
      <c r="N86" s="224">
        <v>0</v>
      </c>
      <c r="O86" s="225"/>
      <c r="P86" s="97">
        <v>85</v>
      </c>
      <c r="Q86" s="50">
        <f>P86+C86</f>
        <v>124</v>
      </c>
      <c r="R86" s="224">
        <v>0</v>
      </c>
      <c r="S86" s="225"/>
      <c r="T86" s="97">
        <v>146</v>
      </c>
      <c r="U86" s="50">
        <f>T86+C86</f>
        <v>185</v>
      </c>
      <c r="V86" s="224">
        <v>1</v>
      </c>
      <c r="W86" s="225"/>
      <c r="X86" s="46">
        <f t="shared" si="2"/>
        <v>848</v>
      </c>
      <c r="Y86" s="106">
        <f>D86+H86+L86+P86+T86</f>
        <v>653</v>
      </c>
      <c r="Z86" s="67">
        <f>AVERAGE(E86,I86,M86,Q86,U86)</f>
        <v>169.6</v>
      </c>
      <c r="AA86" s="143">
        <f>AVERAGE(E86,I86,M86,Q86,U86)-C86</f>
        <v>130.6</v>
      </c>
      <c r="AB86" s="220"/>
    </row>
    <row r="87" spans="1:28" s="38" customFormat="1" ht="15.75" customHeight="1">
      <c r="A87" s="222" t="s">
        <v>82</v>
      </c>
      <c r="B87" s="223"/>
      <c r="C87" s="150">
        <v>60</v>
      </c>
      <c r="D87" s="59">
        <v>96</v>
      </c>
      <c r="E87" s="50">
        <f>D87+C87</f>
        <v>156</v>
      </c>
      <c r="F87" s="226"/>
      <c r="G87" s="227"/>
      <c r="H87" s="98">
        <v>115</v>
      </c>
      <c r="I87" s="46">
        <f>H87+C87</f>
        <v>175</v>
      </c>
      <c r="J87" s="226"/>
      <c r="K87" s="227"/>
      <c r="L87" s="98">
        <v>83</v>
      </c>
      <c r="M87" s="50">
        <f>L87+C87</f>
        <v>143</v>
      </c>
      <c r="N87" s="226"/>
      <c r="O87" s="227"/>
      <c r="P87" s="98">
        <v>110</v>
      </c>
      <c r="Q87" s="50">
        <f>P87+C87</f>
        <v>170</v>
      </c>
      <c r="R87" s="226"/>
      <c r="S87" s="227"/>
      <c r="T87" s="98">
        <v>131</v>
      </c>
      <c r="U87" s="50">
        <f>T87+C87</f>
        <v>191</v>
      </c>
      <c r="V87" s="226"/>
      <c r="W87" s="227"/>
      <c r="X87" s="46">
        <f t="shared" si="2"/>
        <v>835</v>
      </c>
      <c r="Y87" s="106">
        <f>D87+H87+L87+P87+T87</f>
        <v>535</v>
      </c>
      <c r="Z87" s="67">
        <f>AVERAGE(E87,I87,M87,Q87,U87)</f>
        <v>167</v>
      </c>
      <c r="AA87" s="143">
        <f>AVERAGE(E87,I87,M87,Q87,U87)-C87</f>
        <v>107</v>
      </c>
      <c r="AB87" s="220"/>
    </row>
    <row r="88" spans="1:28" s="38" customFormat="1" ht="15.75" customHeight="1" thickBot="1">
      <c r="A88" s="229" t="s">
        <v>81</v>
      </c>
      <c r="B88" s="230"/>
      <c r="C88" s="151">
        <v>35</v>
      </c>
      <c r="D88" s="60">
        <v>131</v>
      </c>
      <c r="E88" s="50">
        <f>D88+C88</f>
        <v>166</v>
      </c>
      <c r="F88" s="204"/>
      <c r="G88" s="228"/>
      <c r="H88" s="99">
        <v>108</v>
      </c>
      <c r="I88" s="46">
        <f>H88+C88</f>
        <v>143</v>
      </c>
      <c r="J88" s="204"/>
      <c r="K88" s="228"/>
      <c r="L88" s="99">
        <v>138</v>
      </c>
      <c r="M88" s="50">
        <f>L88+C88</f>
        <v>173</v>
      </c>
      <c r="N88" s="204"/>
      <c r="O88" s="228"/>
      <c r="P88" s="99">
        <v>133</v>
      </c>
      <c r="Q88" s="50">
        <f>P88+C88</f>
        <v>168</v>
      </c>
      <c r="R88" s="204"/>
      <c r="S88" s="228"/>
      <c r="T88" s="99">
        <v>177</v>
      </c>
      <c r="U88" s="50">
        <f>T88+C88</f>
        <v>212</v>
      </c>
      <c r="V88" s="204"/>
      <c r="W88" s="228"/>
      <c r="X88" s="47">
        <f t="shared" si="2"/>
        <v>862</v>
      </c>
      <c r="Y88" s="107">
        <f>D88+H88+L88+P88+T88</f>
        <v>687</v>
      </c>
      <c r="Z88" s="68">
        <f>AVERAGE(E88,I88,M88,Q88,U88)</f>
        <v>172.4</v>
      </c>
      <c r="AA88" s="144">
        <f>AVERAGE(E88,I88,M88,Q88,U88)-C88</f>
        <v>137.4</v>
      </c>
      <c r="AB88" s="221"/>
    </row>
    <row r="89" spans="1:28" s="40" customFormat="1" ht="9" customHeight="1">
      <c r="A89" s="207" t="s">
        <v>347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4"/>
      <c r="W89" s="25"/>
      <c r="Y89" s="57"/>
      <c r="Z89" s="41"/>
      <c r="AA89" s="139"/>
      <c r="AB89" s="25"/>
    </row>
    <row r="90" spans="1:28" s="40" customFormat="1" ht="6" customHeight="1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4"/>
      <c r="W90" s="25"/>
      <c r="Y90" s="57"/>
      <c r="Z90" s="41"/>
      <c r="AA90" s="139"/>
      <c r="AB90" s="25"/>
    </row>
    <row r="91" spans="1:28" s="40" customFormat="1" ht="23.2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5"/>
      <c r="W91" s="25"/>
      <c r="Y91" s="57"/>
      <c r="Z91" s="41"/>
      <c r="AA91" s="139"/>
      <c r="AB91" s="25"/>
    </row>
    <row r="92" spans="1:28" s="31" customFormat="1" ht="15.75" customHeight="1">
      <c r="A92" s="209" t="s">
        <v>0</v>
      </c>
      <c r="B92" s="210"/>
      <c r="C92" s="147" t="s">
        <v>39</v>
      </c>
      <c r="D92" s="55"/>
      <c r="E92" s="27" t="s">
        <v>1</v>
      </c>
      <c r="F92" s="211" t="s">
        <v>2</v>
      </c>
      <c r="G92" s="212"/>
      <c r="H92" s="94"/>
      <c r="I92" s="27" t="s">
        <v>3</v>
      </c>
      <c r="J92" s="211" t="s">
        <v>2</v>
      </c>
      <c r="K92" s="212"/>
      <c r="L92" s="94"/>
      <c r="M92" s="27" t="s">
        <v>4</v>
      </c>
      <c r="N92" s="211" t="s">
        <v>2</v>
      </c>
      <c r="O92" s="212"/>
      <c r="P92" s="94"/>
      <c r="Q92" s="27" t="s">
        <v>5</v>
      </c>
      <c r="R92" s="211" t="s">
        <v>2</v>
      </c>
      <c r="S92" s="212"/>
      <c r="T92" s="94"/>
      <c r="U92" s="27" t="s">
        <v>6</v>
      </c>
      <c r="V92" s="211" t="s">
        <v>2</v>
      </c>
      <c r="W92" s="212"/>
      <c r="X92" s="28" t="s">
        <v>7</v>
      </c>
      <c r="Y92" s="104"/>
      <c r="Z92" s="29" t="s">
        <v>40</v>
      </c>
      <c r="AA92" s="140" t="s">
        <v>42</v>
      </c>
      <c r="AB92" s="30" t="s">
        <v>7</v>
      </c>
    </row>
    <row r="93" spans="1:28" s="31" customFormat="1" ht="15.75" customHeight="1" thickBot="1">
      <c r="A93" s="213" t="s">
        <v>9</v>
      </c>
      <c r="B93" s="214"/>
      <c r="C93" s="148"/>
      <c r="D93" s="56"/>
      <c r="E93" s="32" t="s">
        <v>10</v>
      </c>
      <c r="F93" s="211" t="s">
        <v>11</v>
      </c>
      <c r="G93" s="212"/>
      <c r="H93" s="95"/>
      <c r="I93" s="32" t="s">
        <v>10</v>
      </c>
      <c r="J93" s="215" t="s">
        <v>11</v>
      </c>
      <c r="K93" s="216"/>
      <c r="L93" s="95"/>
      <c r="M93" s="32" t="s">
        <v>10</v>
      </c>
      <c r="N93" s="215" t="s">
        <v>11</v>
      </c>
      <c r="O93" s="216"/>
      <c r="P93" s="95"/>
      <c r="Q93" s="32" t="s">
        <v>10</v>
      </c>
      <c r="R93" s="215" t="s">
        <v>11</v>
      </c>
      <c r="S93" s="216"/>
      <c r="T93" s="95"/>
      <c r="U93" s="32" t="s">
        <v>10</v>
      </c>
      <c r="V93" s="215" t="s">
        <v>11</v>
      </c>
      <c r="W93" s="216"/>
      <c r="X93" s="33" t="s">
        <v>10</v>
      </c>
      <c r="Y93" s="134" t="s">
        <v>287</v>
      </c>
      <c r="Z93" s="34" t="s">
        <v>41</v>
      </c>
      <c r="AA93" s="141" t="s">
        <v>43</v>
      </c>
      <c r="AB93" s="35" t="s">
        <v>12</v>
      </c>
    </row>
    <row r="94" spans="1:28" s="38" customFormat="1" ht="42" customHeight="1">
      <c r="A94" s="217" t="s">
        <v>167</v>
      </c>
      <c r="B94" s="218"/>
      <c r="C94" s="149">
        <f>SUM(C95:C97)</f>
        <v>154</v>
      </c>
      <c r="D94" s="62">
        <f>SUM(D95:D97)</f>
        <v>395</v>
      </c>
      <c r="E94" s="63">
        <f>SUM(E95:E97)</f>
        <v>549</v>
      </c>
      <c r="F94" s="46">
        <f>E114</f>
        <v>583</v>
      </c>
      <c r="G94" s="64" t="str">
        <f>A114</f>
        <v>Rakvere Soojus</v>
      </c>
      <c r="H94" s="62">
        <f>SUM(H95:H97)</f>
        <v>360</v>
      </c>
      <c r="I94" s="49">
        <f>SUM(I95:I97)</f>
        <v>514</v>
      </c>
      <c r="J94" s="49">
        <f>I110</f>
        <v>499</v>
      </c>
      <c r="K94" s="42" t="str">
        <f>A110</f>
        <v>KLG Viru</v>
      </c>
      <c r="L94" s="58">
        <f>SUM(L95:L97)</f>
        <v>366</v>
      </c>
      <c r="M94" s="45">
        <f>SUM(M95:M97)</f>
        <v>520</v>
      </c>
      <c r="N94" s="45">
        <f>M106</f>
        <v>476</v>
      </c>
      <c r="O94" s="42" t="str">
        <f>A106</f>
        <v>A.E.J.</v>
      </c>
      <c r="P94" s="45">
        <f>SUM(P95:P97)</f>
        <v>335</v>
      </c>
      <c r="Q94" s="45">
        <f>SUM(Q95:Q97)</f>
        <v>489</v>
      </c>
      <c r="R94" s="45">
        <f>Q102</f>
        <v>539</v>
      </c>
      <c r="S94" s="42" t="str">
        <f>A102</f>
        <v>Penn&amp; Pärlin</v>
      </c>
      <c r="T94" s="133">
        <f>SUM(T95:T97)</f>
        <v>370</v>
      </c>
      <c r="U94" s="45">
        <f>SUM(U95:U97)</f>
        <v>524</v>
      </c>
      <c r="V94" s="45">
        <f>U98</f>
        <v>568</v>
      </c>
      <c r="W94" s="42" t="str">
        <f>A98</f>
        <v>FEB</v>
      </c>
      <c r="X94" s="36">
        <f aca="true" t="shared" si="3" ref="X94:X117">E94+I94+M94+Q94+U94</f>
        <v>2596</v>
      </c>
      <c r="Y94" s="105">
        <f>SUM(Y95:Y97)</f>
        <v>1826</v>
      </c>
      <c r="Z94" s="37">
        <f>AVERAGE(Z95,Z96,Z97)</f>
        <v>173.0666666666667</v>
      </c>
      <c r="AA94" s="142">
        <f>AVERAGE(AA95,AA96,AA97)</f>
        <v>121.73333333333335</v>
      </c>
      <c r="AB94" s="219">
        <f>F95+J95+N95+R95+V95</f>
        <v>2</v>
      </c>
    </row>
    <row r="95" spans="1:28" s="38" customFormat="1" ht="15.75" customHeight="1">
      <c r="A95" s="222" t="s">
        <v>170</v>
      </c>
      <c r="B95" s="223"/>
      <c r="C95" s="150">
        <v>47</v>
      </c>
      <c r="D95" s="59">
        <v>156</v>
      </c>
      <c r="E95" s="50">
        <f>D95+C95</f>
        <v>203</v>
      </c>
      <c r="F95" s="224">
        <v>0</v>
      </c>
      <c r="G95" s="225"/>
      <c r="H95" s="97">
        <v>114</v>
      </c>
      <c r="I95" s="46">
        <f>H95+C95</f>
        <v>161</v>
      </c>
      <c r="J95" s="224">
        <v>1</v>
      </c>
      <c r="K95" s="225"/>
      <c r="L95" s="97">
        <v>142</v>
      </c>
      <c r="M95" s="50">
        <f>L95+C95</f>
        <v>189</v>
      </c>
      <c r="N95" s="224">
        <v>1</v>
      </c>
      <c r="O95" s="225"/>
      <c r="P95" s="97">
        <v>108</v>
      </c>
      <c r="Q95" s="50">
        <f>P95+C95</f>
        <v>155</v>
      </c>
      <c r="R95" s="224">
        <v>0</v>
      </c>
      <c r="S95" s="225"/>
      <c r="T95" s="97">
        <v>149</v>
      </c>
      <c r="U95" s="50">
        <f>T95+C95</f>
        <v>196</v>
      </c>
      <c r="V95" s="224">
        <v>0</v>
      </c>
      <c r="W95" s="225"/>
      <c r="X95" s="46">
        <f t="shared" si="3"/>
        <v>904</v>
      </c>
      <c r="Y95" s="106">
        <f>D95+H95+L95+P95+T95</f>
        <v>669</v>
      </c>
      <c r="Z95" s="67">
        <f>AVERAGE(E95,I95,M95,Q95,U95)</f>
        <v>180.8</v>
      </c>
      <c r="AA95" s="143">
        <f>AVERAGE(E95,I95,M95,Q95,U95)-C95</f>
        <v>133.8</v>
      </c>
      <c r="AB95" s="220"/>
    </row>
    <row r="96" spans="1:28" s="38" customFormat="1" ht="15.75" customHeight="1">
      <c r="A96" s="222" t="s">
        <v>285</v>
      </c>
      <c r="B96" s="223"/>
      <c r="C96" s="150">
        <v>51</v>
      </c>
      <c r="D96" s="59">
        <v>97</v>
      </c>
      <c r="E96" s="50">
        <f>D96+C96</f>
        <v>148</v>
      </c>
      <c r="F96" s="226"/>
      <c r="G96" s="227"/>
      <c r="H96" s="98">
        <v>139</v>
      </c>
      <c r="I96" s="46">
        <f>H96+C96</f>
        <v>190</v>
      </c>
      <c r="J96" s="226"/>
      <c r="K96" s="227"/>
      <c r="L96" s="98">
        <v>120</v>
      </c>
      <c r="M96" s="50">
        <f>L96+C96</f>
        <v>171</v>
      </c>
      <c r="N96" s="226"/>
      <c r="O96" s="227"/>
      <c r="P96" s="98">
        <v>136</v>
      </c>
      <c r="Q96" s="50">
        <f>P96+C96</f>
        <v>187</v>
      </c>
      <c r="R96" s="226"/>
      <c r="S96" s="227"/>
      <c r="T96" s="98">
        <v>117</v>
      </c>
      <c r="U96" s="50">
        <f>T96+C96</f>
        <v>168</v>
      </c>
      <c r="V96" s="226"/>
      <c r="W96" s="227"/>
      <c r="X96" s="46">
        <f t="shared" si="3"/>
        <v>864</v>
      </c>
      <c r="Y96" s="106">
        <f>D96+H96+L96+P96+T96</f>
        <v>609</v>
      </c>
      <c r="Z96" s="67">
        <f>AVERAGE(E96,I96,M96,Q96,U96)</f>
        <v>172.8</v>
      </c>
      <c r="AA96" s="143">
        <f>AVERAGE(E96,I96,M96,Q96,U96)-C96</f>
        <v>121.80000000000001</v>
      </c>
      <c r="AB96" s="220"/>
    </row>
    <row r="97" spans="1:28" s="38" customFormat="1" ht="16.5" customHeight="1" thickBot="1">
      <c r="A97" s="229" t="s">
        <v>169</v>
      </c>
      <c r="B97" s="230"/>
      <c r="C97" s="151">
        <v>56</v>
      </c>
      <c r="D97" s="60">
        <v>142</v>
      </c>
      <c r="E97" s="50">
        <f>D97+C97</f>
        <v>198</v>
      </c>
      <c r="F97" s="204"/>
      <c r="G97" s="228"/>
      <c r="H97" s="99">
        <v>107</v>
      </c>
      <c r="I97" s="46">
        <f>H97+C97</f>
        <v>163</v>
      </c>
      <c r="J97" s="204"/>
      <c r="K97" s="228"/>
      <c r="L97" s="99">
        <v>104</v>
      </c>
      <c r="M97" s="50">
        <f>L97+C97</f>
        <v>160</v>
      </c>
      <c r="N97" s="204"/>
      <c r="O97" s="228"/>
      <c r="P97" s="99">
        <v>91</v>
      </c>
      <c r="Q97" s="50">
        <f>P97+C97</f>
        <v>147</v>
      </c>
      <c r="R97" s="204"/>
      <c r="S97" s="228"/>
      <c r="T97" s="99">
        <v>104</v>
      </c>
      <c r="U97" s="50">
        <f>T97+C97</f>
        <v>160</v>
      </c>
      <c r="V97" s="204"/>
      <c r="W97" s="228"/>
      <c r="X97" s="47">
        <f t="shared" si="3"/>
        <v>828</v>
      </c>
      <c r="Y97" s="107">
        <f>D97+H97+L97+P97+T97</f>
        <v>548</v>
      </c>
      <c r="Z97" s="68">
        <f>AVERAGE(E97,I97,M97,Q97,U97)</f>
        <v>165.6</v>
      </c>
      <c r="AA97" s="144">
        <f>AVERAGE(E97,I97,M97,Q97,U97)-C97</f>
        <v>109.6</v>
      </c>
      <c r="AB97" s="221"/>
    </row>
    <row r="98" spans="1:28" s="38" customFormat="1" ht="41.25" customHeight="1">
      <c r="A98" s="217" t="s">
        <v>15</v>
      </c>
      <c r="B98" s="218"/>
      <c r="C98" s="149">
        <f>SUM(C99:C101)</f>
        <v>140</v>
      </c>
      <c r="D98" s="62">
        <f>SUM(D99:D101)</f>
        <v>355</v>
      </c>
      <c r="E98" s="45">
        <f>SUM(E99:E101)</f>
        <v>495</v>
      </c>
      <c r="F98" s="45">
        <f>E110</f>
        <v>634</v>
      </c>
      <c r="G98" s="42" t="str">
        <f>A110</f>
        <v>KLG Viru</v>
      </c>
      <c r="H98" s="62">
        <f>SUM(H99:H101)</f>
        <v>357</v>
      </c>
      <c r="I98" s="45">
        <f>SUM(I99:I101)</f>
        <v>497</v>
      </c>
      <c r="J98" s="45">
        <f>I106</f>
        <v>578</v>
      </c>
      <c r="K98" s="42" t="str">
        <f>A106</f>
        <v>A.E.J.</v>
      </c>
      <c r="L98" s="133">
        <f>SUM(L99:L101)</f>
        <v>427</v>
      </c>
      <c r="M98" s="49">
        <f>SUM(M99:M101)</f>
        <v>567</v>
      </c>
      <c r="N98" s="45">
        <f>M102</f>
        <v>568</v>
      </c>
      <c r="O98" s="42" t="str">
        <f>A102</f>
        <v>Penn&amp; Pärlin</v>
      </c>
      <c r="P98" s="45">
        <f>SUM(P99:P101)</f>
        <v>372</v>
      </c>
      <c r="Q98" s="49">
        <f>SUM(Q99:Q101)</f>
        <v>512</v>
      </c>
      <c r="R98" s="45">
        <f>Q114</f>
        <v>562</v>
      </c>
      <c r="S98" s="42" t="str">
        <f>A114</f>
        <v>Rakvere Soojus</v>
      </c>
      <c r="T98" s="133">
        <f>SUM(T99:T101)</f>
        <v>428</v>
      </c>
      <c r="U98" s="49">
        <f>SUM(U99:U101)</f>
        <v>568</v>
      </c>
      <c r="V98" s="45">
        <f>U94</f>
        <v>524</v>
      </c>
      <c r="W98" s="42" t="str">
        <f>A94</f>
        <v>T.E.M.</v>
      </c>
      <c r="X98" s="36">
        <f t="shared" si="3"/>
        <v>2639</v>
      </c>
      <c r="Y98" s="105">
        <f>SUM(Y99:Y101)</f>
        <v>1939</v>
      </c>
      <c r="Z98" s="65">
        <f>AVERAGE(Z99,Z100,Z101)</f>
        <v>175.93333333333337</v>
      </c>
      <c r="AA98" s="142">
        <f>AVERAGE(AA99,AA100,AA101)</f>
        <v>129.26666666666668</v>
      </c>
      <c r="AB98" s="219">
        <f>F99+J99+N99+R99+V99</f>
        <v>1</v>
      </c>
    </row>
    <row r="99" spans="1:28" s="38" customFormat="1" ht="15.75" customHeight="1">
      <c r="A99" s="222" t="s">
        <v>49</v>
      </c>
      <c r="B99" s="223"/>
      <c r="C99" s="150">
        <v>42</v>
      </c>
      <c r="D99" s="59">
        <v>115</v>
      </c>
      <c r="E99" s="50">
        <f>D99+C99</f>
        <v>157</v>
      </c>
      <c r="F99" s="224">
        <v>0</v>
      </c>
      <c r="G99" s="225"/>
      <c r="H99" s="97">
        <v>129</v>
      </c>
      <c r="I99" s="46">
        <f>H99+C99</f>
        <v>171</v>
      </c>
      <c r="J99" s="224">
        <v>0</v>
      </c>
      <c r="K99" s="225"/>
      <c r="L99" s="97">
        <v>134</v>
      </c>
      <c r="M99" s="50">
        <f>L99+C99</f>
        <v>176</v>
      </c>
      <c r="N99" s="224">
        <v>0</v>
      </c>
      <c r="O99" s="225"/>
      <c r="P99" s="97">
        <v>141</v>
      </c>
      <c r="Q99" s="50">
        <f>P99+C99</f>
        <v>183</v>
      </c>
      <c r="R99" s="224">
        <v>0</v>
      </c>
      <c r="S99" s="225"/>
      <c r="T99" s="97">
        <v>130</v>
      </c>
      <c r="U99" s="50">
        <f>T99+C99</f>
        <v>172</v>
      </c>
      <c r="V99" s="224">
        <v>1</v>
      </c>
      <c r="W99" s="225"/>
      <c r="X99" s="46">
        <f t="shared" si="3"/>
        <v>859</v>
      </c>
      <c r="Y99" s="106">
        <f>D99+H99+L99+P99+T99</f>
        <v>649</v>
      </c>
      <c r="Z99" s="67">
        <f>AVERAGE(E99,I99,M99,Q99,U99)</f>
        <v>171.8</v>
      </c>
      <c r="AA99" s="143">
        <f>AVERAGE(E99,I99,M99,Q99,U99)-C99</f>
        <v>129.8</v>
      </c>
      <c r="AB99" s="220"/>
    </row>
    <row r="100" spans="1:28" s="38" customFormat="1" ht="15.75" customHeight="1">
      <c r="A100" s="222" t="s">
        <v>275</v>
      </c>
      <c r="B100" s="223"/>
      <c r="C100" s="150">
        <v>56</v>
      </c>
      <c r="D100" s="59">
        <v>127</v>
      </c>
      <c r="E100" s="50">
        <f>D100+C100</f>
        <v>183</v>
      </c>
      <c r="F100" s="226"/>
      <c r="G100" s="227"/>
      <c r="H100" s="98">
        <v>110</v>
      </c>
      <c r="I100" s="46">
        <f>H100+C100</f>
        <v>166</v>
      </c>
      <c r="J100" s="226"/>
      <c r="K100" s="227"/>
      <c r="L100" s="98">
        <v>153</v>
      </c>
      <c r="M100" s="50">
        <f>L100+C100</f>
        <v>209</v>
      </c>
      <c r="N100" s="226"/>
      <c r="O100" s="227"/>
      <c r="P100" s="98">
        <v>128</v>
      </c>
      <c r="Q100" s="50">
        <f>P100+C100</f>
        <v>184</v>
      </c>
      <c r="R100" s="226"/>
      <c r="S100" s="227"/>
      <c r="T100" s="98">
        <v>154</v>
      </c>
      <c r="U100" s="50">
        <f>T100+C100</f>
        <v>210</v>
      </c>
      <c r="V100" s="226"/>
      <c r="W100" s="227"/>
      <c r="X100" s="46">
        <f t="shared" si="3"/>
        <v>952</v>
      </c>
      <c r="Y100" s="106">
        <f>D100+H100+L100+P100+T100</f>
        <v>672</v>
      </c>
      <c r="Z100" s="67">
        <f>AVERAGE(E100,I100,M100,Q100,U100)</f>
        <v>190.4</v>
      </c>
      <c r="AA100" s="143">
        <f>AVERAGE(E100,I100,M100,Q100,U100)-C100</f>
        <v>134.4</v>
      </c>
      <c r="AB100" s="220"/>
    </row>
    <row r="101" spans="1:28" s="38" customFormat="1" ht="15.75" customHeight="1" thickBot="1">
      <c r="A101" s="229" t="s">
        <v>276</v>
      </c>
      <c r="B101" s="230"/>
      <c r="C101" s="151">
        <v>42</v>
      </c>
      <c r="D101" s="60">
        <v>113</v>
      </c>
      <c r="E101" s="50">
        <f>D101+C101</f>
        <v>155</v>
      </c>
      <c r="F101" s="204"/>
      <c r="G101" s="228"/>
      <c r="H101" s="99">
        <v>118</v>
      </c>
      <c r="I101" s="46">
        <f>H101+C101</f>
        <v>160</v>
      </c>
      <c r="J101" s="204"/>
      <c r="K101" s="228"/>
      <c r="L101" s="99">
        <v>140</v>
      </c>
      <c r="M101" s="50">
        <f>L101+C101</f>
        <v>182</v>
      </c>
      <c r="N101" s="204"/>
      <c r="O101" s="228"/>
      <c r="P101" s="99">
        <v>103</v>
      </c>
      <c r="Q101" s="50">
        <f>P101+C101</f>
        <v>145</v>
      </c>
      <c r="R101" s="204"/>
      <c r="S101" s="228"/>
      <c r="T101" s="99">
        <v>144</v>
      </c>
      <c r="U101" s="50">
        <f>T101+C101</f>
        <v>186</v>
      </c>
      <c r="V101" s="204"/>
      <c r="W101" s="228"/>
      <c r="X101" s="47">
        <f t="shared" si="3"/>
        <v>828</v>
      </c>
      <c r="Y101" s="107">
        <f>D101+H101+L101+P101+T101</f>
        <v>618</v>
      </c>
      <c r="Z101" s="68">
        <f>AVERAGE(E101,I101,M101,Q101,U101)</f>
        <v>165.6</v>
      </c>
      <c r="AA101" s="144">
        <f>AVERAGE(E101,I101,M101,Q101,U101)-C101</f>
        <v>123.6</v>
      </c>
      <c r="AB101" s="221"/>
    </row>
    <row r="102" spans="1:28" s="38" customFormat="1" ht="47.25" customHeight="1">
      <c r="A102" s="217" t="s">
        <v>324</v>
      </c>
      <c r="B102" s="218"/>
      <c r="C102" s="149">
        <f>SUM(C103:C105)</f>
        <v>81</v>
      </c>
      <c r="D102" s="62">
        <f>SUM(D103:D105)</f>
        <v>389</v>
      </c>
      <c r="E102" s="45">
        <f>SUM(E103:E105)</f>
        <v>470</v>
      </c>
      <c r="F102" s="45">
        <f>E106</f>
        <v>515</v>
      </c>
      <c r="G102" s="42" t="str">
        <f>A106</f>
        <v>A.E.J.</v>
      </c>
      <c r="H102" s="62">
        <f>SUM(H103:H105)</f>
        <v>563</v>
      </c>
      <c r="I102" s="45">
        <f>SUM(I103:I105)</f>
        <v>644</v>
      </c>
      <c r="J102" s="45">
        <f>I114</f>
        <v>627</v>
      </c>
      <c r="K102" s="42" t="str">
        <f>A114</f>
        <v>Rakvere Soojus</v>
      </c>
      <c r="L102" s="133">
        <f>SUM(L103:L105)</f>
        <v>487</v>
      </c>
      <c r="M102" s="69">
        <f>SUM(M103:M105)</f>
        <v>568</v>
      </c>
      <c r="N102" s="45">
        <f>M98</f>
        <v>567</v>
      </c>
      <c r="O102" s="42" t="str">
        <f>A98</f>
        <v>FEB</v>
      </c>
      <c r="P102" s="45">
        <f>SUM(P103:P105)</f>
        <v>458</v>
      </c>
      <c r="Q102" s="49">
        <f>SUM(Q103:Q105)</f>
        <v>539</v>
      </c>
      <c r="R102" s="45">
        <f>Q94</f>
        <v>489</v>
      </c>
      <c r="S102" s="42" t="str">
        <f>A94</f>
        <v>T.E.M.</v>
      </c>
      <c r="T102" s="133">
        <f>SUM(T103:T105)</f>
        <v>432</v>
      </c>
      <c r="U102" s="69">
        <f>SUM(U103:U105)</f>
        <v>513</v>
      </c>
      <c r="V102" s="45">
        <f>U110</f>
        <v>533</v>
      </c>
      <c r="W102" s="42" t="str">
        <f>A110</f>
        <v>KLG Viru</v>
      </c>
      <c r="X102" s="36">
        <f t="shared" si="3"/>
        <v>2734</v>
      </c>
      <c r="Y102" s="105">
        <f>SUM(Y103:Y105)</f>
        <v>2329</v>
      </c>
      <c r="Z102" s="65">
        <f>AVERAGE(Z103,Z104,Z105)</f>
        <v>182.26666666666665</v>
      </c>
      <c r="AA102" s="142">
        <f>AVERAGE(AA103,AA104,AA105)</f>
        <v>155.26666666666665</v>
      </c>
      <c r="AB102" s="219">
        <f>F103+J103+N103+R103+V103</f>
        <v>3</v>
      </c>
    </row>
    <row r="103" spans="1:28" s="38" customFormat="1" ht="15.75" customHeight="1">
      <c r="A103" s="222" t="s">
        <v>334</v>
      </c>
      <c r="B103" s="223"/>
      <c r="C103" s="150">
        <v>21</v>
      </c>
      <c r="D103" s="59">
        <v>136</v>
      </c>
      <c r="E103" s="50">
        <f>D103+C103</f>
        <v>157</v>
      </c>
      <c r="F103" s="224">
        <v>0</v>
      </c>
      <c r="G103" s="225"/>
      <c r="H103" s="97">
        <v>175</v>
      </c>
      <c r="I103" s="46">
        <f>H103+C103</f>
        <v>196</v>
      </c>
      <c r="J103" s="224">
        <v>1</v>
      </c>
      <c r="K103" s="225"/>
      <c r="L103" s="97">
        <v>176</v>
      </c>
      <c r="M103" s="50">
        <f>L103+C103</f>
        <v>197</v>
      </c>
      <c r="N103" s="224">
        <v>1</v>
      </c>
      <c r="O103" s="225"/>
      <c r="P103" s="97">
        <v>135</v>
      </c>
      <c r="Q103" s="50">
        <f>P103+C103</f>
        <v>156</v>
      </c>
      <c r="R103" s="224">
        <v>1</v>
      </c>
      <c r="S103" s="225"/>
      <c r="T103" s="97">
        <v>128</v>
      </c>
      <c r="U103" s="50">
        <f>T103+C103</f>
        <v>149</v>
      </c>
      <c r="V103" s="224">
        <v>0</v>
      </c>
      <c r="W103" s="225"/>
      <c r="X103" s="46">
        <f t="shared" si="3"/>
        <v>855</v>
      </c>
      <c r="Y103" s="106">
        <f>D103+H103+L103+P103+T103</f>
        <v>750</v>
      </c>
      <c r="Z103" s="67">
        <f>AVERAGE(E103,I103,M103,Q103,U103)</f>
        <v>171</v>
      </c>
      <c r="AA103" s="143">
        <f>AVERAGE(E103,I103,M103,Q103,U103)-C103</f>
        <v>150</v>
      </c>
      <c r="AB103" s="220"/>
    </row>
    <row r="104" spans="1:28" s="38" customFormat="1" ht="15.75" customHeight="1">
      <c r="A104" s="222" t="s">
        <v>212</v>
      </c>
      <c r="B104" s="223"/>
      <c r="C104" s="150">
        <v>19</v>
      </c>
      <c r="D104" s="59">
        <v>132</v>
      </c>
      <c r="E104" s="50">
        <f>D104+C104</f>
        <v>151</v>
      </c>
      <c r="F104" s="226"/>
      <c r="G104" s="227"/>
      <c r="H104" s="98">
        <v>153</v>
      </c>
      <c r="I104" s="46">
        <f>H104+C104</f>
        <v>172</v>
      </c>
      <c r="J104" s="226"/>
      <c r="K104" s="227"/>
      <c r="L104" s="98">
        <v>184</v>
      </c>
      <c r="M104" s="50">
        <f>L104+C104</f>
        <v>203</v>
      </c>
      <c r="N104" s="226"/>
      <c r="O104" s="227"/>
      <c r="P104" s="98">
        <v>162</v>
      </c>
      <c r="Q104" s="50">
        <f>P104+C104</f>
        <v>181</v>
      </c>
      <c r="R104" s="226"/>
      <c r="S104" s="227"/>
      <c r="T104" s="98">
        <v>135</v>
      </c>
      <c r="U104" s="50">
        <f>T104+C104</f>
        <v>154</v>
      </c>
      <c r="V104" s="226"/>
      <c r="W104" s="227"/>
      <c r="X104" s="46">
        <f t="shared" si="3"/>
        <v>861</v>
      </c>
      <c r="Y104" s="106">
        <f>D104+H104+L104+P104+T104</f>
        <v>766</v>
      </c>
      <c r="Z104" s="67">
        <f>AVERAGE(E104,I104,M104,Q104,U104)</f>
        <v>172.2</v>
      </c>
      <c r="AA104" s="143">
        <f>AVERAGE(E104,I104,M104,Q104,U104)-C104</f>
        <v>153.2</v>
      </c>
      <c r="AB104" s="220"/>
    </row>
    <row r="105" spans="1:28" s="38" customFormat="1" ht="15.75" customHeight="1" thickBot="1">
      <c r="A105" s="229" t="s">
        <v>278</v>
      </c>
      <c r="B105" s="230"/>
      <c r="C105" s="151">
        <v>41</v>
      </c>
      <c r="D105" s="60">
        <v>121</v>
      </c>
      <c r="E105" s="50">
        <f>D105+C105</f>
        <v>162</v>
      </c>
      <c r="F105" s="204"/>
      <c r="G105" s="228"/>
      <c r="H105" s="99">
        <v>235</v>
      </c>
      <c r="I105" s="46">
        <f>H105+C105</f>
        <v>276</v>
      </c>
      <c r="J105" s="204"/>
      <c r="K105" s="228"/>
      <c r="L105" s="99">
        <v>127</v>
      </c>
      <c r="M105" s="50">
        <f>L105+C105</f>
        <v>168</v>
      </c>
      <c r="N105" s="204"/>
      <c r="O105" s="228"/>
      <c r="P105" s="99">
        <v>161</v>
      </c>
      <c r="Q105" s="50">
        <f>P105+C105</f>
        <v>202</v>
      </c>
      <c r="R105" s="204"/>
      <c r="S105" s="228"/>
      <c r="T105" s="99">
        <v>169</v>
      </c>
      <c r="U105" s="50">
        <f>T105+C105</f>
        <v>210</v>
      </c>
      <c r="V105" s="204"/>
      <c r="W105" s="228"/>
      <c r="X105" s="47">
        <f t="shared" si="3"/>
        <v>1018</v>
      </c>
      <c r="Y105" s="107">
        <f>D105+H105+L105+P105+T105</f>
        <v>813</v>
      </c>
      <c r="Z105" s="68">
        <f>AVERAGE(E105,I105,M105,Q105,U105)</f>
        <v>203.6</v>
      </c>
      <c r="AA105" s="144">
        <f>AVERAGE(E105,I105,M105,Q105,U105)-C105</f>
        <v>162.6</v>
      </c>
      <c r="AB105" s="221"/>
    </row>
    <row r="106" spans="1:28" s="38" customFormat="1" ht="39" customHeight="1">
      <c r="A106" s="217" t="s">
        <v>172</v>
      </c>
      <c r="B106" s="218"/>
      <c r="C106" s="149">
        <f>SUM(C107:C109)</f>
        <v>81</v>
      </c>
      <c r="D106" s="62">
        <f>SUM(D107:D109)</f>
        <v>434</v>
      </c>
      <c r="E106" s="45">
        <f>SUM(E107:E109)</f>
        <v>515</v>
      </c>
      <c r="F106" s="45">
        <f>E102</f>
        <v>470</v>
      </c>
      <c r="G106" s="42" t="str">
        <f>A102</f>
        <v>Penn&amp; Pärlin</v>
      </c>
      <c r="H106" s="62">
        <f>SUM(H107:H109)</f>
        <v>497</v>
      </c>
      <c r="I106" s="45">
        <f>SUM(I107:I109)</f>
        <v>578</v>
      </c>
      <c r="J106" s="45">
        <f>I98</f>
        <v>497</v>
      </c>
      <c r="K106" s="42" t="str">
        <f>A98</f>
        <v>FEB</v>
      </c>
      <c r="L106" s="133">
        <f>SUM(L107:L109)</f>
        <v>395</v>
      </c>
      <c r="M106" s="49">
        <f>SUM(M107:M109)</f>
        <v>476</v>
      </c>
      <c r="N106" s="45">
        <f>M94</f>
        <v>520</v>
      </c>
      <c r="O106" s="42" t="str">
        <f>A94</f>
        <v>T.E.M.</v>
      </c>
      <c r="P106" s="45">
        <f>SUM(P107:P109)</f>
        <v>457</v>
      </c>
      <c r="Q106" s="49">
        <f>SUM(Q107:Q109)</f>
        <v>538</v>
      </c>
      <c r="R106" s="45">
        <f>Q110</f>
        <v>577</v>
      </c>
      <c r="S106" s="42" t="str">
        <f>A110</f>
        <v>KLG Viru</v>
      </c>
      <c r="T106" s="133">
        <f>SUM(T107:T109)</f>
        <v>523</v>
      </c>
      <c r="U106" s="49">
        <f>SUM(U107:U109)</f>
        <v>604</v>
      </c>
      <c r="V106" s="45">
        <f>U114</f>
        <v>512</v>
      </c>
      <c r="W106" s="42" t="str">
        <f>A114</f>
        <v>Rakvere Soojus</v>
      </c>
      <c r="X106" s="36">
        <f t="shared" si="3"/>
        <v>2711</v>
      </c>
      <c r="Y106" s="105">
        <f>SUM(Y107:Y109)</f>
        <v>2306</v>
      </c>
      <c r="Z106" s="65">
        <f>AVERAGE(Z107,Z108,Z109)</f>
        <v>180.73333333333335</v>
      </c>
      <c r="AA106" s="142">
        <f>AVERAGE(AA107,AA108,AA109)</f>
        <v>153.73333333333335</v>
      </c>
      <c r="AB106" s="219">
        <f>F107+J107+N107+R107+V107</f>
        <v>3</v>
      </c>
    </row>
    <row r="107" spans="1:28" s="38" customFormat="1" ht="15.75" customHeight="1">
      <c r="A107" s="222" t="s">
        <v>185</v>
      </c>
      <c r="B107" s="223"/>
      <c r="C107" s="150">
        <v>18</v>
      </c>
      <c r="D107" s="59">
        <v>150</v>
      </c>
      <c r="E107" s="50">
        <f>D107+C107</f>
        <v>168</v>
      </c>
      <c r="F107" s="224">
        <v>1</v>
      </c>
      <c r="G107" s="225"/>
      <c r="H107" s="97">
        <v>187</v>
      </c>
      <c r="I107" s="46">
        <f>H107+C107</f>
        <v>205</v>
      </c>
      <c r="J107" s="224">
        <v>1</v>
      </c>
      <c r="K107" s="225"/>
      <c r="L107" s="97">
        <v>162</v>
      </c>
      <c r="M107" s="50">
        <f>L107+C107</f>
        <v>180</v>
      </c>
      <c r="N107" s="224">
        <v>0</v>
      </c>
      <c r="O107" s="225"/>
      <c r="P107" s="97">
        <v>150</v>
      </c>
      <c r="Q107" s="50">
        <f>P107+C107</f>
        <v>168</v>
      </c>
      <c r="R107" s="224">
        <v>0</v>
      </c>
      <c r="S107" s="225"/>
      <c r="T107" s="97">
        <v>175</v>
      </c>
      <c r="U107" s="50">
        <f>T107+C107</f>
        <v>193</v>
      </c>
      <c r="V107" s="224">
        <v>1</v>
      </c>
      <c r="W107" s="225"/>
      <c r="X107" s="46">
        <f t="shared" si="3"/>
        <v>914</v>
      </c>
      <c r="Y107" s="106">
        <f>D107+H107+L107+P107+T107</f>
        <v>824</v>
      </c>
      <c r="Z107" s="67">
        <f>AVERAGE(E107,I107,M107,Q107,U107)</f>
        <v>182.8</v>
      </c>
      <c r="AA107" s="143">
        <f>AVERAGE(E107,I107,M107,Q107,U107)-C107</f>
        <v>164.8</v>
      </c>
      <c r="AB107" s="220"/>
    </row>
    <row r="108" spans="1:28" s="38" customFormat="1" ht="15.75" customHeight="1">
      <c r="A108" s="222" t="s">
        <v>187</v>
      </c>
      <c r="B108" s="223"/>
      <c r="C108" s="150">
        <v>31</v>
      </c>
      <c r="D108" s="59">
        <v>138</v>
      </c>
      <c r="E108" s="50">
        <f>D108+C108</f>
        <v>169</v>
      </c>
      <c r="F108" s="226"/>
      <c r="G108" s="227"/>
      <c r="H108" s="98">
        <v>163</v>
      </c>
      <c r="I108" s="46">
        <f>H108+C108</f>
        <v>194</v>
      </c>
      <c r="J108" s="226"/>
      <c r="K108" s="227"/>
      <c r="L108" s="98">
        <v>119</v>
      </c>
      <c r="M108" s="50">
        <f>L108+C108</f>
        <v>150</v>
      </c>
      <c r="N108" s="226"/>
      <c r="O108" s="227"/>
      <c r="P108" s="98">
        <v>134</v>
      </c>
      <c r="Q108" s="50">
        <f>P108+C108</f>
        <v>165</v>
      </c>
      <c r="R108" s="226"/>
      <c r="S108" s="227"/>
      <c r="T108" s="98">
        <v>145</v>
      </c>
      <c r="U108" s="50">
        <f>T108+C108</f>
        <v>176</v>
      </c>
      <c r="V108" s="226"/>
      <c r="W108" s="227"/>
      <c r="X108" s="46">
        <f t="shared" si="3"/>
        <v>854</v>
      </c>
      <c r="Y108" s="106">
        <f>D108+H108+L108+P108+T108</f>
        <v>699</v>
      </c>
      <c r="Z108" s="67">
        <f>AVERAGE(E108,I108,M108,Q108,U108)</f>
        <v>170.8</v>
      </c>
      <c r="AA108" s="143">
        <f>AVERAGE(E108,I108,M108,Q108,U108)-C108</f>
        <v>139.8</v>
      </c>
      <c r="AB108" s="220"/>
    </row>
    <row r="109" spans="1:29" s="38" customFormat="1" ht="15.75" customHeight="1" thickBot="1">
      <c r="A109" s="229" t="s">
        <v>186</v>
      </c>
      <c r="B109" s="230"/>
      <c r="C109" s="151">
        <v>32</v>
      </c>
      <c r="D109" s="60">
        <v>146</v>
      </c>
      <c r="E109" s="50">
        <f>D109+C109</f>
        <v>178</v>
      </c>
      <c r="F109" s="204"/>
      <c r="G109" s="228"/>
      <c r="H109" s="99">
        <v>147</v>
      </c>
      <c r="I109" s="46">
        <f>H109+C109</f>
        <v>179</v>
      </c>
      <c r="J109" s="204"/>
      <c r="K109" s="228"/>
      <c r="L109" s="99">
        <v>114</v>
      </c>
      <c r="M109" s="50">
        <f>L109+C109</f>
        <v>146</v>
      </c>
      <c r="N109" s="204"/>
      <c r="O109" s="228"/>
      <c r="P109" s="99">
        <v>173</v>
      </c>
      <c r="Q109" s="50">
        <f>P109+C109</f>
        <v>205</v>
      </c>
      <c r="R109" s="204"/>
      <c r="S109" s="228"/>
      <c r="T109" s="99">
        <v>203</v>
      </c>
      <c r="U109" s="50">
        <f>T109+C109</f>
        <v>235</v>
      </c>
      <c r="V109" s="204"/>
      <c r="W109" s="228"/>
      <c r="X109" s="47">
        <f t="shared" si="3"/>
        <v>943</v>
      </c>
      <c r="Y109" s="107">
        <f>D109+H109+L109+P109+T109</f>
        <v>783</v>
      </c>
      <c r="Z109" s="68">
        <f>AVERAGE(E109,I109,M109,Q109,U109)</f>
        <v>188.6</v>
      </c>
      <c r="AA109" s="144">
        <f>AVERAGE(E109,I109,M109,Q109,U109)-C109</f>
        <v>156.6</v>
      </c>
      <c r="AB109" s="221"/>
      <c r="AC109" s="44"/>
    </row>
    <row r="110" spans="1:28" s="38" customFormat="1" ht="53.25" customHeight="1">
      <c r="A110" s="217" t="s">
        <v>100</v>
      </c>
      <c r="B110" s="218"/>
      <c r="C110" s="149">
        <f>SUM(C111:C113)</f>
        <v>110</v>
      </c>
      <c r="D110" s="62">
        <f>SUM(D111:D113)</f>
        <v>524</v>
      </c>
      <c r="E110" s="45">
        <f>SUM(E111:E113)</f>
        <v>634</v>
      </c>
      <c r="F110" s="45">
        <f>E98</f>
        <v>495</v>
      </c>
      <c r="G110" s="42" t="str">
        <f>A98</f>
        <v>FEB</v>
      </c>
      <c r="H110" s="62">
        <f>SUM(H111:H113)</f>
        <v>389</v>
      </c>
      <c r="I110" s="45">
        <f>SUM(I111:I113)</f>
        <v>499</v>
      </c>
      <c r="J110" s="45">
        <f>I94</f>
        <v>514</v>
      </c>
      <c r="K110" s="42" t="str">
        <f>A94</f>
        <v>T.E.M.</v>
      </c>
      <c r="L110" s="133">
        <f>SUM(L111:L113)</f>
        <v>395</v>
      </c>
      <c r="M110" s="69">
        <f>SUM(M111:M113)</f>
        <v>505</v>
      </c>
      <c r="N110" s="45">
        <f>M114</f>
        <v>516</v>
      </c>
      <c r="O110" s="42" t="str">
        <f>A114</f>
        <v>Rakvere Soojus</v>
      </c>
      <c r="P110" s="45">
        <f>SUM(P111:P113)</f>
        <v>467</v>
      </c>
      <c r="Q110" s="69">
        <f>SUM(Q111:Q113)</f>
        <v>577</v>
      </c>
      <c r="R110" s="45">
        <f>Q106</f>
        <v>538</v>
      </c>
      <c r="S110" s="42" t="str">
        <f>A106</f>
        <v>A.E.J.</v>
      </c>
      <c r="T110" s="133">
        <f>SUM(T111:T113)</f>
        <v>423</v>
      </c>
      <c r="U110" s="69">
        <f>SUM(U111:U113)</f>
        <v>533</v>
      </c>
      <c r="V110" s="45">
        <f>U102</f>
        <v>513</v>
      </c>
      <c r="W110" s="42" t="str">
        <f>A102</f>
        <v>Penn&amp; Pärlin</v>
      </c>
      <c r="X110" s="36">
        <f t="shared" si="3"/>
        <v>2748</v>
      </c>
      <c r="Y110" s="105">
        <f>SUM(Y111:Y113)</f>
        <v>2198</v>
      </c>
      <c r="Z110" s="65">
        <f>AVERAGE(Z111,Z112,Z113)</f>
        <v>183.20000000000002</v>
      </c>
      <c r="AA110" s="142">
        <f>AVERAGE(AA111,AA112,AA113)</f>
        <v>146.53333333333333</v>
      </c>
      <c r="AB110" s="219">
        <f>F111+J111+N111+R111+V111</f>
        <v>3</v>
      </c>
    </row>
    <row r="111" spans="1:28" s="38" customFormat="1" ht="15.75" customHeight="1">
      <c r="A111" s="222" t="s">
        <v>93</v>
      </c>
      <c r="B111" s="223"/>
      <c r="C111" s="150">
        <v>24</v>
      </c>
      <c r="D111" s="59">
        <v>147</v>
      </c>
      <c r="E111" s="50">
        <f>D111+C111</f>
        <v>171</v>
      </c>
      <c r="F111" s="224">
        <v>1</v>
      </c>
      <c r="G111" s="225"/>
      <c r="H111" s="97">
        <v>163</v>
      </c>
      <c r="I111" s="46">
        <f>H111+C111</f>
        <v>187</v>
      </c>
      <c r="J111" s="224">
        <v>0</v>
      </c>
      <c r="K111" s="225"/>
      <c r="L111" s="97">
        <v>148</v>
      </c>
      <c r="M111" s="50">
        <f>L111+C111</f>
        <v>172</v>
      </c>
      <c r="N111" s="224">
        <v>0</v>
      </c>
      <c r="O111" s="225"/>
      <c r="P111" s="97">
        <v>159</v>
      </c>
      <c r="Q111" s="50">
        <f>P111+C111</f>
        <v>183</v>
      </c>
      <c r="R111" s="224">
        <v>1</v>
      </c>
      <c r="S111" s="225"/>
      <c r="T111" s="97">
        <v>152</v>
      </c>
      <c r="U111" s="50">
        <f>T111+C111</f>
        <v>176</v>
      </c>
      <c r="V111" s="224">
        <v>1</v>
      </c>
      <c r="W111" s="225"/>
      <c r="X111" s="46">
        <f t="shared" si="3"/>
        <v>889</v>
      </c>
      <c r="Y111" s="106">
        <f>D111+H111+L111+P111+T111</f>
        <v>769</v>
      </c>
      <c r="Z111" s="67">
        <f>AVERAGE(E111,I111,M111,Q111,U111)</f>
        <v>177.8</v>
      </c>
      <c r="AA111" s="143">
        <f>AVERAGE(E111,I111,M111,Q111,U111)-C111</f>
        <v>153.8</v>
      </c>
      <c r="AB111" s="220"/>
    </row>
    <row r="112" spans="1:28" s="38" customFormat="1" ht="15.75" customHeight="1">
      <c r="A112" s="222" t="s">
        <v>94</v>
      </c>
      <c r="B112" s="223"/>
      <c r="C112" s="150">
        <v>35</v>
      </c>
      <c r="D112" s="59">
        <v>185</v>
      </c>
      <c r="E112" s="50">
        <f>D112+C112</f>
        <v>220</v>
      </c>
      <c r="F112" s="226"/>
      <c r="G112" s="227"/>
      <c r="H112" s="98">
        <v>114</v>
      </c>
      <c r="I112" s="46">
        <f>H112+C112</f>
        <v>149</v>
      </c>
      <c r="J112" s="226"/>
      <c r="K112" s="227"/>
      <c r="L112" s="98">
        <v>116</v>
      </c>
      <c r="M112" s="50">
        <f>L112+C112</f>
        <v>151</v>
      </c>
      <c r="N112" s="226"/>
      <c r="O112" s="227"/>
      <c r="P112" s="98">
        <v>155</v>
      </c>
      <c r="Q112" s="50">
        <f>P112+C112</f>
        <v>190</v>
      </c>
      <c r="R112" s="226"/>
      <c r="S112" s="227"/>
      <c r="T112" s="98">
        <v>149</v>
      </c>
      <c r="U112" s="50">
        <f>T112+C112</f>
        <v>184</v>
      </c>
      <c r="V112" s="226"/>
      <c r="W112" s="227"/>
      <c r="X112" s="46">
        <f t="shared" si="3"/>
        <v>894</v>
      </c>
      <c r="Y112" s="106">
        <f>D112+H112+L112+P112+T112</f>
        <v>719</v>
      </c>
      <c r="Z112" s="67">
        <f>AVERAGE(E112,I112,M112,Q112,U112)</f>
        <v>178.8</v>
      </c>
      <c r="AA112" s="143">
        <f>AVERAGE(E112,I112,M112,Q112,U112)-C112</f>
        <v>143.8</v>
      </c>
      <c r="AB112" s="220"/>
    </row>
    <row r="113" spans="1:28" s="38" customFormat="1" ht="15.75" customHeight="1" thickBot="1">
      <c r="A113" s="229" t="s">
        <v>92</v>
      </c>
      <c r="B113" s="230"/>
      <c r="C113" s="151">
        <v>51</v>
      </c>
      <c r="D113" s="60">
        <v>192</v>
      </c>
      <c r="E113" s="50">
        <f>D113+C113</f>
        <v>243</v>
      </c>
      <c r="F113" s="204"/>
      <c r="G113" s="228"/>
      <c r="H113" s="99">
        <v>112</v>
      </c>
      <c r="I113" s="46">
        <f>H113+C113</f>
        <v>163</v>
      </c>
      <c r="J113" s="204"/>
      <c r="K113" s="228"/>
      <c r="L113" s="99">
        <v>131</v>
      </c>
      <c r="M113" s="50">
        <f>L113+C113</f>
        <v>182</v>
      </c>
      <c r="N113" s="204"/>
      <c r="O113" s="228"/>
      <c r="P113" s="99">
        <v>153</v>
      </c>
      <c r="Q113" s="50">
        <f>P113+C113</f>
        <v>204</v>
      </c>
      <c r="R113" s="204"/>
      <c r="S113" s="228"/>
      <c r="T113" s="99">
        <v>122</v>
      </c>
      <c r="U113" s="50">
        <f>T113+C113</f>
        <v>173</v>
      </c>
      <c r="V113" s="204"/>
      <c r="W113" s="228"/>
      <c r="X113" s="47">
        <f t="shared" si="3"/>
        <v>965</v>
      </c>
      <c r="Y113" s="107">
        <f>D113+H113+L113+P113+T113</f>
        <v>710</v>
      </c>
      <c r="Z113" s="68">
        <f>AVERAGE(E113,I113,M113,Q113,U113)</f>
        <v>193</v>
      </c>
      <c r="AA113" s="144">
        <f>AVERAGE(E113,I113,M113,Q113,U113)-C113</f>
        <v>142</v>
      </c>
      <c r="AB113" s="221"/>
    </row>
    <row r="114" spans="1:28" s="38" customFormat="1" ht="42" customHeight="1">
      <c r="A114" s="217" t="s">
        <v>249</v>
      </c>
      <c r="B114" s="218"/>
      <c r="C114" s="149">
        <f>SUM(C115:C117)</f>
        <v>117</v>
      </c>
      <c r="D114" s="62">
        <f>SUM(D115:D117)</f>
        <v>466</v>
      </c>
      <c r="E114" s="45">
        <f>SUM(E115:E117)</f>
        <v>583</v>
      </c>
      <c r="F114" s="45">
        <f>E94</f>
        <v>549</v>
      </c>
      <c r="G114" s="42" t="str">
        <f>A94</f>
        <v>T.E.M.</v>
      </c>
      <c r="H114" s="62">
        <f>SUM(H115:H117)</f>
        <v>510</v>
      </c>
      <c r="I114" s="45">
        <f>SUM(I115:I117)</f>
        <v>627</v>
      </c>
      <c r="J114" s="45">
        <f>I102</f>
        <v>644</v>
      </c>
      <c r="K114" s="42" t="str">
        <f>A102</f>
        <v>Penn&amp; Pärlin</v>
      </c>
      <c r="L114" s="133">
        <f>SUM(L115:L117)</f>
        <v>399</v>
      </c>
      <c r="M114" s="49">
        <f>SUM(M115:M117)</f>
        <v>516</v>
      </c>
      <c r="N114" s="45">
        <f>M110</f>
        <v>505</v>
      </c>
      <c r="O114" s="42" t="str">
        <f>A110</f>
        <v>KLG Viru</v>
      </c>
      <c r="P114" s="45">
        <f>SUM(P115:P117)</f>
        <v>445</v>
      </c>
      <c r="Q114" s="49">
        <f>SUM(Q115:Q117)</f>
        <v>562</v>
      </c>
      <c r="R114" s="45">
        <f>Q98</f>
        <v>512</v>
      </c>
      <c r="S114" s="42" t="str">
        <f>A98</f>
        <v>FEB</v>
      </c>
      <c r="T114" s="133">
        <f>SUM(T115:T117)</f>
        <v>395</v>
      </c>
      <c r="U114" s="49">
        <f>SUM(U115:U117)</f>
        <v>512</v>
      </c>
      <c r="V114" s="45">
        <f>U106</f>
        <v>604</v>
      </c>
      <c r="W114" s="42" t="str">
        <f>A106</f>
        <v>A.E.J.</v>
      </c>
      <c r="X114" s="36">
        <f t="shared" si="3"/>
        <v>2800</v>
      </c>
      <c r="Y114" s="105">
        <f>SUM(Y115:Y117)</f>
        <v>2215</v>
      </c>
      <c r="Z114" s="65">
        <f>AVERAGE(Z115,Z116,Z117)</f>
        <v>186.66666666666666</v>
      </c>
      <c r="AA114" s="142">
        <f>AVERAGE(AA115,AA116,AA117)</f>
        <v>147.66666666666666</v>
      </c>
      <c r="AB114" s="219">
        <f>F115+J115+N115+R115+V115</f>
        <v>3</v>
      </c>
    </row>
    <row r="115" spans="1:28" s="38" customFormat="1" ht="15.75" customHeight="1">
      <c r="A115" s="222" t="s">
        <v>252</v>
      </c>
      <c r="B115" s="223"/>
      <c r="C115" s="150">
        <v>29</v>
      </c>
      <c r="D115" s="59">
        <v>167</v>
      </c>
      <c r="E115" s="50">
        <f>D115+C115</f>
        <v>196</v>
      </c>
      <c r="F115" s="224">
        <v>1</v>
      </c>
      <c r="G115" s="225"/>
      <c r="H115" s="97">
        <v>190</v>
      </c>
      <c r="I115" s="46">
        <f>H115+C115</f>
        <v>219</v>
      </c>
      <c r="J115" s="224">
        <v>0</v>
      </c>
      <c r="K115" s="225"/>
      <c r="L115" s="97">
        <v>180</v>
      </c>
      <c r="M115" s="50">
        <f>L115+C115</f>
        <v>209</v>
      </c>
      <c r="N115" s="224">
        <v>1</v>
      </c>
      <c r="O115" s="225"/>
      <c r="P115" s="97">
        <v>129</v>
      </c>
      <c r="Q115" s="50">
        <f>P115+C115</f>
        <v>158</v>
      </c>
      <c r="R115" s="224">
        <v>1</v>
      </c>
      <c r="S115" s="225"/>
      <c r="T115" s="97">
        <v>147</v>
      </c>
      <c r="U115" s="50">
        <f>T115+C115</f>
        <v>176</v>
      </c>
      <c r="V115" s="224">
        <v>0</v>
      </c>
      <c r="W115" s="225"/>
      <c r="X115" s="46">
        <f t="shared" si="3"/>
        <v>958</v>
      </c>
      <c r="Y115" s="106">
        <f>D115+H115+L115+P115+T115</f>
        <v>813</v>
      </c>
      <c r="Z115" s="67">
        <f>AVERAGE(E115,I115,M115,Q115,U115)</f>
        <v>191.6</v>
      </c>
      <c r="AA115" s="143">
        <f>AVERAGE(E115,I115,M115,Q115,U115)-C115</f>
        <v>162.6</v>
      </c>
      <c r="AB115" s="220"/>
    </row>
    <row r="116" spans="1:28" s="38" customFormat="1" ht="15.75" customHeight="1">
      <c r="A116" s="222" t="s">
        <v>251</v>
      </c>
      <c r="B116" s="223"/>
      <c r="C116" s="150">
        <v>52</v>
      </c>
      <c r="D116" s="59">
        <v>130</v>
      </c>
      <c r="E116" s="50">
        <f>D116+C116</f>
        <v>182</v>
      </c>
      <c r="F116" s="226"/>
      <c r="G116" s="227"/>
      <c r="H116" s="98">
        <v>157</v>
      </c>
      <c r="I116" s="46">
        <f>H116+C116</f>
        <v>209</v>
      </c>
      <c r="J116" s="226"/>
      <c r="K116" s="227"/>
      <c r="L116" s="98">
        <v>106</v>
      </c>
      <c r="M116" s="50">
        <f>L116+C116</f>
        <v>158</v>
      </c>
      <c r="N116" s="226"/>
      <c r="O116" s="227"/>
      <c r="P116" s="98">
        <v>117</v>
      </c>
      <c r="Q116" s="50">
        <f>P116+C116</f>
        <v>169</v>
      </c>
      <c r="R116" s="226"/>
      <c r="S116" s="227"/>
      <c r="T116" s="98">
        <v>124</v>
      </c>
      <c r="U116" s="50">
        <f>T116+C116</f>
        <v>176</v>
      </c>
      <c r="V116" s="226"/>
      <c r="W116" s="227"/>
      <c r="X116" s="46">
        <f t="shared" si="3"/>
        <v>894</v>
      </c>
      <c r="Y116" s="106">
        <f>D116+H116+L116+P116+T116</f>
        <v>634</v>
      </c>
      <c r="Z116" s="67">
        <f>AVERAGE(E116,I116,M116,Q116,U116)</f>
        <v>178.8</v>
      </c>
      <c r="AA116" s="143">
        <f>AVERAGE(E116,I116,M116,Q116,U116)-C116</f>
        <v>126.80000000000001</v>
      </c>
      <c r="AB116" s="220"/>
    </row>
    <row r="117" spans="1:28" s="38" customFormat="1" ht="14.25" customHeight="1" thickBot="1">
      <c r="A117" s="229" t="s">
        <v>250</v>
      </c>
      <c r="B117" s="230"/>
      <c r="C117" s="151">
        <v>36</v>
      </c>
      <c r="D117" s="60">
        <v>169</v>
      </c>
      <c r="E117" s="50">
        <f>D117+C117</f>
        <v>205</v>
      </c>
      <c r="F117" s="204"/>
      <c r="G117" s="228"/>
      <c r="H117" s="99">
        <v>163</v>
      </c>
      <c r="I117" s="46">
        <f>H117+C117</f>
        <v>199</v>
      </c>
      <c r="J117" s="204"/>
      <c r="K117" s="228"/>
      <c r="L117" s="99">
        <v>113</v>
      </c>
      <c r="M117" s="50">
        <f>L117+C117</f>
        <v>149</v>
      </c>
      <c r="N117" s="204"/>
      <c r="O117" s="228"/>
      <c r="P117" s="99">
        <v>199</v>
      </c>
      <c r="Q117" s="50">
        <f>P117+C117</f>
        <v>235</v>
      </c>
      <c r="R117" s="204"/>
      <c r="S117" s="228"/>
      <c r="T117" s="99">
        <v>124</v>
      </c>
      <c r="U117" s="50">
        <f>T117+C117</f>
        <v>160</v>
      </c>
      <c r="V117" s="204"/>
      <c r="W117" s="228"/>
      <c r="X117" s="47">
        <f t="shared" si="3"/>
        <v>948</v>
      </c>
      <c r="Y117" s="107">
        <f>D117+H117+L117+P117+T117</f>
        <v>768</v>
      </c>
      <c r="Z117" s="68">
        <f>AVERAGE(E117,I117,M117,Q117,U117)</f>
        <v>189.6</v>
      </c>
      <c r="AA117" s="144">
        <f>AVERAGE(E117,I117,M117,Q117,U117)-C117</f>
        <v>153.6</v>
      </c>
      <c r="AB117" s="221"/>
    </row>
    <row r="118" spans="1:28" s="40" customFormat="1" ht="12.75" customHeight="1">
      <c r="A118" s="207" t="s">
        <v>348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4"/>
      <c r="W118" s="25"/>
      <c r="Y118" s="57"/>
      <c r="Z118" s="41"/>
      <c r="AA118" s="139"/>
      <c r="AB118" s="25"/>
    </row>
    <row r="119" spans="1:28" s="40" customFormat="1" ht="14.25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4"/>
      <c r="W119" s="25"/>
      <c r="Y119" s="57"/>
      <c r="Z119" s="41"/>
      <c r="AA119" s="139"/>
      <c r="AB119" s="25"/>
    </row>
    <row r="120" spans="1:28" s="40" customFormat="1" ht="23.25" customHeight="1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5"/>
      <c r="W120" s="25"/>
      <c r="Y120" s="57"/>
      <c r="Z120" s="41"/>
      <c r="AA120" s="139"/>
      <c r="AB120" s="25"/>
    </row>
    <row r="121" spans="1:28" s="31" customFormat="1" ht="15.75" customHeight="1">
      <c r="A121" s="209" t="s">
        <v>0</v>
      </c>
      <c r="B121" s="210"/>
      <c r="C121" s="147" t="s">
        <v>39</v>
      </c>
      <c r="D121" s="55"/>
      <c r="E121" s="27" t="s">
        <v>1</v>
      </c>
      <c r="F121" s="211" t="s">
        <v>2</v>
      </c>
      <c r="G121" s="212"/>
      <c r="H121" s="94"/>
      <c r="I121" s="27" t="s">
        <v>3</v>
      </c>
      <c r="J121" s="211" t="s">
        <v>2</v>
      </c>
      <c r="K121" s="212"/>
      <c r="L121" s="94"/>
      <c r="M121" s="27" t="s">
        <v>4</v>
      </c>
      <c r="N121" s="211" t="s">
        <v>2</v>
      </c>
      <c r="O121" s="212"/>
      <c r="P121" s="94"/>
      <c r="Q121" s="27" t="s">
        <v>5</v>
      </c>
      <c r="R121" s="211" t="s">
        <v>2</v>
      </c>
      <c r="S121" s="212"/>
      <c r="T121" s="94"/>
      <c r="U121" s="27" t="s">
        <v>6</v>
      </c>
      <c r="V121" s="211" t="s">
        <v>2</v>
      </c>
      <c r="W121" s="212"/>
      <c r="X121" s="28" t="s">
        <v>7</v>
      </c>
      <c r="Y121" s="104"/>
      <c r="Z121" s="29" t="s">
        <v>40</v>
      </c>
      <c r="AA121" s="140" t="s">
        <v>42</v>
      </c>
      <c r="AB121" s="30" t="s">
        <v>7</v>
      </c>
    </row>
    <row r="122" spans="1:28" s="31" customFormat="1" ht="15.75" customHeight="1" thickBot="1">
      <c r="A122" s="213" t="s">
        <v>9</v>
      </c>
      <c r="B122" s="214"/>
      <c r="C122" s="148"/>
      <c r="D122" s="56"/>
      <c r="E122" s="32" t="s">
        <v>10</v>
      </c>
      <c r="F122" s="211" t="s">
        <v>11</v>
      </c>
      <c r="G122" s="212"/>
      <c r="H122" s="95"/>
      <c r="I122" s="32" t="s">
        <v>10</v>
      </c>
      <c r="J122" s="215" t="s">
        <v>11</v>
      </c>
      <c r="K122" s="216"/>
      <c r="L122" s="95"/>
      <c r="M122" s="32" t="s">
        <v>10</v>
      </c>
      <c r="N122" s="215" t="s">
        <v>11</v>
      </c>
      <c r="O122" s="216"/>
      <c r="P122" s="95"/>
      <c r="Q122" s="32" t="s">
        <v>10</v>
      </c>
      <c r="R122" s="215" t="s">
        <v>11</v>
      </c>
      <c r="S122" s="216"/>
      <c r="T122" s="95"/>
      <c r="U122" s="32" t="s">
        <v>10</v>
      </c>
      <c r="V122" s="215" t="s">
        <v>11</v>
      </c>
      <c r="W122" s="216"/>
      <c r="X122" s="33" t="s">
        <v>10</v>
      </c>
      <c r="Y122" s="134" t="s">
        <v>287</v>
      </c>
      <c r="Z122" s="34" t="s">
        <v>41</v>
      </c>
      <c r="AA122" s="141" t="s">
        <v>43</v>
      </c>
      <c r="AB122" s="35" t="s">
        <v>12</v>
      </c>
    </row>
    <row r="123" spans="1:28" s="38" customFormat="1" ht="42" customHeight="1">
      <c r="A123" s="217" t="s">
        <v>282</v>
      </c>
      <c r="B123" s="218"/>
      <c r="C123" s="149">
        <f>SUM(C124:C126)</f>
        <v>128</v>
      </c>
      <c r="D123" s="62">
        <f>SUM(D124:D126)</f>
        <v>339</v>
      </c>
      <c r="E123" s="63">
        <f>SUM(E124:E126)</f>
        <v>467</v>
      </c>
      <c r="F123" s="46">
        <f>E143</f>
        <v>549</v>
      </c>
      <c r="G123" s="64" t="str">
        <f>A143</f>
        <v>Näpi Saeveski 2</v>
      </c>
      <c r="H123" s="62">
        <f>SUM(H124:H126)</f>
        <v>492</v>
      </c>
      <c r="I123" s="49">
        <f>SUM(I124:I126)</f>
        <v>620</v>
      </c>
      <c r="J123" s="49">
        <f>I139</f>
        <v>487</v>
      </c>
      <c r="K123" s="42" t="str">
        <f>A139</f>
        <v>Lajos 2</v>
      </c>
      <c r="L123" s="58">
        <f>SUM(L124:L126)</f>
        <v>430</v>
      </c>
      <c r="M123" s="45">
        <f>SUM(M124:M126)</f>
        <v>558</v>
      </c>
      <c r="N123" s="45">
        <f>M135</f>
        <v>549</v>
      </c>
      <c r="O123" s="42" t="str">
        <f>A135</f>
        <v>MP Auto</v>
      </c>
      <c r="P123" s="45">
        <f>SUM(P124:P126)</f>
        <v>375</v>
      </c>
      <c r="Q123" s="45">
        <f>SUM(Q124:Q126)</f>
        <v>503</v>
      </c>
      <c r="R123" s="45">
        <f>Q131</f>
        <v>531</v>
      </c>
      <c r="S123" s="42" t="str">
        <f>A131</f>
        <v>VÄRSKA VESI</v>
      </c>
      <c r="T123" s="133">
        <f>SUM(T124:T126)</f>
        <v>389</v>
      </c>
      <c r="U123" s="45">
        <f>SUM(U124:U126)</f>
        <v>517</v>
      </c>
      <c r="V123" s="45">
        <f>U127</f>
        <v>570</v>
      </c>
      <c r="W123" s="42" t="str">
        <f>A127</f>
        <v>Linnaking</v>
      </c>
      <c r="X123" s="36">
        <f aca="true" t="shared" si="4" ref="X123:X146">E123+I123+M123+Q123+U123</f>
        <v>2665</v>
      </c>
      <c r="Y123" s="105">
        <f>SUM(Y124:Y126)</f>
        <v>2025</v>
      </c>
      <c r="Z123" s="37">
        <f>AVERAGE(Z124,Z125,Z126)</f>
        <v>177.66666666666666</v>
      </c>
      <c r="AA123" s="142">
        <f>AVERAGE(AA124,AA125,AA126)</f>
        <v>135</v>
      </c>
      <c r="AB123" s="219">
        <f>F124+J124+N124+R124+V124</f>
        <v>2</v>
      </c>
    </row>
    <row r="124" spans="1:28" s="38" customFormat="1" ht="15.75" customHeight="1">
      <c r="A124" s="222" t="s">
        <v>147</v>
      </c>
      <c r="B124" s="223"/>
      <c r="C124" s="150">
        <v>30</v>
      </c>
      <c r="D124" s="59">
        <v>133</v>
      </c>
      <c r="E124" s="50">
        <f>D124+C124</f>
        <v>163</v>
      </c>
      <c r="F124" s="224">
        <v>0</v>
      </c>
      <c r="G124" s="225"/>
      <c r="H124" s="97">
        <v>161</v>
      </c>
      <c r="I124" s="46">
        <f>H124+C124</f>
        <v>191</v>
      </c>
      <c r="J124" s="224">
        <v>1</v>
      </c>
      <c r="K124" s="225"/>
      <c r="L124" s="97">
        <v>182</v>
      </c>
      <c r="M124" s="50">
        <f>L124+C124</f>
        <v>212</v>
      </c>
      <c r="N124" s="224">
        <v>1</v>
      </c>
      <c r="O124" s="225"/>
      <c r="P124" s="97">
        <v>138</v>
      </c>
      <c r="Q124" s="50">
        <f>P124+C124</f>
        <v>168</v>
      </c>
      <c r="R124" s="224">
        <v>0</v>
      </c>
      <c r="S124" s="225"/>
      <c r="T124" s="97">
        <v>146</v>
      </c>
      <c r="U124" s="50">
        <f>T124+C124</f>
        <v>176</v>
      </c>
      <c r="V124" s="224">
        <v>0</v>
      </c>
      <c r="W124" s="225"/>
      <c r="X124" s="46">
        <f t="shared" si="4"/>
        <v>910</v>
      </c>
      <c r="Y124" s="106">
        <f>D124+H124+L124+P124+T124</f>
        <v>760</v>
      </c>
      <c r="Z124" s="67">
        <f>AVERAGE(E124,I124,M124,Q124,U124)</f>
        <v>182</v>
      </c>
      <c r="AA124" s="143">
        <f>AVERAGE(E124,I124,M124,Q124,U124)-C124</f>
        <v>152</v>
      </c>
      <c r="AB124" s="220"/>
    </row>
    <row r="125" spans="1:28" s="38" customFormat="1" ht="15.75" customHeight="1">
      <c r="A125" s="222" t="s">
        <v>310</v>
      </c>
      <c r="B125" s="223"/>
      <c r="C125" s="150">
        <v>56</v>
      </c>
      <c r="D125" s="59">
        <v>115</v>
      </c>
      <c r="E125" s="50">
        <f>D125+C125</f>
        <v>171</v>
      </c>
      <c r="F125" s="226"/>
      <c r="G125" s="227"/>
      <c r="H125" s="98">
        <v>197</v>
      </c>
      <c r="I125" s="46">
        <f>H125+C125</f>
        <v>253</v>
      </c>
      <c r="J125" s="226"/>
      <c r="K125" s="227"/>
      <c r="L125" s="98">
        <v>111</v>
      </c>
      <c r="M125" s="50">
        <f>L125+C125</f>
        <v>167</v>
      </c>
      <c r="N125" s="226"/>
      <c r="O125" s="227"/>
      <c r="P125" s="98">
        <v>102</v>
      </c>
      <c r="Q125" s="50">
        <f>P125+C125</f>
        <v>158</v>
      </c>
      <c r="R125" s="226"/>
      <c r="S125" s="227"/>
      <c r="T125" s="98">
        <v>115</v>
      </c>
      <c r="U125" s="50">
        <f>T125+C125</f>
        <v>171</v>
      </c>
      <c r="V125" s="226"/>
      <c r="W125" s="227"/>
      <c r="X125" s="46">
        <f t="shared" si="4"/>
        <v>920</v>
      </c>
      <c r="Y125" s="106">
        <f>D125+H125+L125+P125+T125</f>
        <v>640</v>
      </c>
      <c r="Z125" s="67">
        <f>AVERAGE(E125,I125,M125,Q125,U125)</f>
        <v>184</v>
      </c>
      <c r="AA125" s="143">
        <f>AVERAGE(E125,I125,M125,Q125,U125)-C125</f>
        <v>128</v>
      </c>
      <c r="AB125" s="220"/>
    </row>
    <row r="126" spans="1:28" s="38" customFormat="1" ht="16.5" customHeight="1" thickBot="1">
      <c r="A126" s="229" t="s">
        <v>149</v>
      </c>
      <c r="B126" s="230"/>
      <c r="C126" s="151">
        <v>42</v>
      </c>
      <c r="D126" s="60">
        <v>91</v>
      </c>
      <c r="E126" s="50">
        <f>D126+C126</f>
        <v>133</v>
      </c>
      <c r="F126" s="204"/>
      <c r="G126" s="228"/>
      <c r="H126" s="99">
        <v>134</v>
      </c>
      <c r="I126" s="46">
        <f>H126+C126</f>
        <v>176</v>
      </c>
      <c r="J126" s="204"/>
      <c r="K126" s="228"/>
      <c r="L126" s="99">
        <v>137</v>
      </c>
      <c r="M126" s="50">
        <f>L126+C126</f>
        <v>179</v>
      </c>
      <c r="N126" s="204"/>
      <c r="O126" s="228"/>
      <c r="P126" s="99">
        <v>135</v>
      </c>
      <c r="Q126" s="50">
        <f>P126+C126</f>
        <v>177</v>
      </c>
      <c r="R126" s="204"/>
      <c r="S126" s="228"/>
      <c r="T126" s="99">
        <v>128</v>
      </c>
      <c r="U126" s="50">
        <f>T126+C126</f>
        <v>170</v>
      </c>
      <c r="V126" s="204"/>
      <c r="W126" s="228"/>
      <c r="X126" s="47">
        <f t="shared" si="4"/>
        <v>835</v>
      </c>
      <c r="Y126" s="107">
        <f>D126+H126+L126+P126+T126</f>
        <v>625</v>
      </c>
      <c r="Z126" s="68">
        <f>AVERAGE(E126,I126,M126,Q126,U126)</f>
        <v>167</v>
      </c>
      <c r="AA126" s="144">
        <f>AVERAGE(E126,I126,M126,Q126,U126)-C126</f>
        <v>125</v>
      </c>
      <c r="AB126" s="221"/>
    </row>
    <row r="127" spans="1:28" s="38" customFormat="1" ht="41.25" customHeight="1">
      <c r="A127" s="217" t="s">
        <v>165</v>
      </c>
      <c r="B127" s="218"/>
      <c r="C127" s="149">
        <f>SUM(C128:C130)</f>
        <v>163</v>
      </c>
      <c r="D127" s="62">
        <f>SUM(D128:D130)</f>
        <v>382</v>
      </c>
      <c r="E127" s="45">
        <f>SUM(E128:E130)</f>
        <v>545</v>
      </c>
      <c r="F127" s="45">
        <f>E139</f>
        <v>485</v>
      </c>
      <c r="G127" s="42" t="str">
        <f>A139</f>
        <v>Lajos 2</v>
      </c>
      <c r="H127" s="62">
        <f>SUM(H128:H130)</f>
        <v>323</v>
      </c>
      <c r="I127" s="45">
        <f>SUM(I128:I130)</f>
        <v>486</v>
      </c>
      <c r="J127" s="45">
        <f>I135</f>
        <v>522</v>
      </c>
      <c r="K127" s="42" t="str">
        <f>A135</f>
        <v>MP Auto</v>
      </c>
      <c r="L127" s="133">
        <f>SUM(L128:L130)</f>
        <v>328</v>
      </c>
      <c r="M127" s="49">
        <f>SUM(M128:M130)</f>
        <v>491</v>
      </c>
      <c r="N127" s="45">
        <f>M131</f>
        <v>574</v>
      </c>
      <c r="O127" s="42" t="str">
        <f>A131</f>
        <v>VÄRSKA VESI</v>
      </c>
      <c r="P127" s="45">
        <f>SUM(P128:P130)</f>
        <v>378</v>
      </c>
      <c r="Q127" s="49">
        <f>SUM(Q128:Q130)</f>
        <v>541</v>
      </c>
      <c r="R127" s="45">
        <f>Q143</f>
        <v>470</v>
      </c>
      <c r="S127" s="42" t="str">
        <f>A143</f>
        <v>Näpi Saeveski 2</v>
      </c>
      <c r="T127" s="133">
        <f>SUM(T128:T130)</f>
        <v>407</v>
      </c>
      <c r="U127" s="49">
        <f>SUM(U128:U130)</f>
        <v>570</v>
      </c>
      <c r="V127" s="45">
        <f>U123</f>
        <v>517</v>
      </c>
      <c r="W127" s="42" t="str">
        <f>A123</f>
        <v>Holst/ Malmberg</v>
      </c>
      <c r="X127" s="36">
        <f t="shared" si="4"/>
        <v>2633</v>
      </c>
      <c r="Y127" s="105">
        <f>SUM(Y128:Y130)</f>
        <v>1818</v>
      </c>
      <c r="Z127" s="65">
        <f>AVERAGE(Z128,Z129,Z130)</f>
        <v>175.53333333333333</v>
      </c>
      <c r="AA127" s="142">
        <f>AVERAGE(AA128,AA129,AA130)</f>
        <v>121.2</v>
      </c>
      <c r="AB127" s="219">
        <f>F128+J128+N128+R128+V128</f>
        <v>3</v>
      </c>
    </row>
    <row r="128" spans="1:28" s="38" customFormat="1" ht="15.75" customHeight="1">
      <c r="A128" s="222" t="s">
        <v>141</v>
      </c>
      <c r="B128" s="223"/>
      <c r="C128" s="150">
        <v>43</v>
      </c>
      <c r="D128" s="59">
        <v>143</v>
      </c>
      <c r="E128" s="50">
        <f>D128+C128</f>
        <v>186</v>
      </c>
      <c r="F128" s="224">
        <v>1</v>
      </c>
      <c r="G128" s="225"/>
      <c r="H128" s="97">
        <v>134</v>
      </c>
      <c r="I128" s="46">
        <f>H128+C128</f>
        <v>177</v>
      </c>
      <c r="J128" s="224">
        <v>0</v>
      </c>
      <c r="K128" s="225"/>
      <c r="L128" s="97">
        <v>122</v>
      </c>
      <c r="M128" s="50">
        <f>L128+C128</f>
        <v>165</v>
      </c>
      <c r="N128" s="224">
        <v>0</v>
      </c>
      <c r="O128" s="225"/>
      <c r="P128" s="97">
        <v>116</v>
      </c>
      <c r="Q128" s="50">
        <f>P128+C128</f>
        <v>159</v>
      </c>
      <c r="R128" s="224">
        <v>1</v>
      </c>
      <c r="S128" s="225"/>
      <c r="T128" s="97">
        <v>150</v>
      </c>
      <c r="U128" s="50">
        <f>T128+C128</f>
        <v>193</v>
      </c>
      <c r="V128" s="224">
        <v>1</v>
      </c>
      <c r="W128" s="225"/>
      <c r="X128" s="46">
        <f t="shared" si="4"/>
        <v>880</v>
      </c>
      <c r="Y128" s="106">
        <f>D128+H128+L128+P128+T128</f>
        <v>665</v>
      </c>
      <c r="Z128" s="67">
        <f>AVERAGE(E128,I128,M128,Q128,U128)</f>
        <v>176</v>
      </c>
      <c r="AA128" s="143">
        <f>AVERAGE(E128,I128,M128,Q128,U128)-C128</f>
        <v>133</v>
      </c>
      <c r="AB128" s="220"/>
    </row>
    <row r="129" spans="1:28" s="38" customFormat="1" ht="15.75" customHeight="1">
      <c r="A129" s="222" t="s">
        <v>345</v>
      </c>
      <c r="B129" s="223"/>
      <c r="C129" s="150">
        <v>60</v>
      </c>
      <c r="D129" s="59">
        <v>130</v>
      </c>
      <c r="E129" s="50">
        <f>D129+C129</f>
        <v>190</v>
      </c>
      <c r="F129" s="226"/>
      <c r="G129" s="227"/>
      <c r="H129" s="98">
        <v>84</v>
      </c>
      <c r="I129" s="46">
        <f>H129+C129</f>
        <v>144</v>
      </c>
      <c r="J129" s="226"/>
      <c r="K129" s="227"/>
      <c r="L129" s="98">
        <v>122</v>
      </c>
      <c r="M129" s="50">
        <f>L129+C129</f>
        <v>182</v>
      </c>
      <c r="N129" s="226"/>
      <c r="O129" s="227"/>
      <c r="P129" s="98">
        <v>161</v>
      </c>
      <c r="Q129" s="50">
        <f>P129+C129</f>
        <v>221</v>
      </c>
      <c r="R129" s="226"/>
      <c r="S129" s="227"/>
      <c r="T129" s="98">
        <v>161</v>
      </c>
      <c r="U129" s="50">
        <f>T129+C129</f>
        <v>221</v>
      </c>
      <c r="V129" s="226"/>
      <c r="W129" s="227"/>
      <c r="X129" s="46">
        <f t="shared" si="4"/>
        <v>958</v>
      </c>
      <c r="Y129" s="106">
        <f>D129+H129+L129+P129+T129</f>
        <v>658</v>
      </c>
      <c r="Z129" s="67">
        <f>AVERAGE(E129,I129,M129,Q129,U129)</f>
        <v>191.6</v>
      </c>
      <c r="AA129" s="143">
        <f>AVERAGE(E129,I129,M129,Q129,U129)-C129</f>
        <v>131.6</v>
      </c>
      <c r="AB129" s="220"/>
    </row>
    <row r="130" spans="1:28" s="38" customFormat="1" ht="15.75" customHeight="1" thickBot="1">
      <c r="A130" s="229" t="s">
        <v>344</v>
      </c>
      <c r="B130" s="230"/>
      <c r="C130" s="151">
        <v>60</v>
      </c>
      <c r="D130" s="60">
        <v>109</v>
      </c>
      <c r="E130" s="50">
        <f>D130+C130</f>
        <v>169</v>
      </c>
      <c r="F130" s="204"/>
      <c r="G130" s="228"/>
      <c r="H130" s="99">
        <v>105</v>
      </c>
      <c r="I130" s="46">
        <f>H130+C130</f>
        <v>165</v>
      </c>
      <c r="J130" s="204"/>
      <c r="K130" s="228"/>
      <c r="L130" s="99">
        <v>84</v>
      </c>
      <c r="M130" s="50">
        <f>L130+C130</f>
        <v>144</v>
      </c>
      <c r="N130" s="204"/>
      <c r="O130" s="228"/>
      <c r="P130" s="99">
        <v>101</v>
      </c>
      <c r="Q130" s="50">
        <f>P130+C130</f>
        <v>161</v>
      </c>
      <c r="R130" s="204"/>
      <c r="S130" s="228"/>
      <c r="T130" s="99">
        <v>96</v>
      </c>
      <c r="U130" s="50">
        <f>T130+C130</f>
        <v>156</v>
      </c>
      <c r="V130" s="204"/>
      <c r="W130" s="228"/>
      <c r="X130" s="47">
        <f t="shared" si="4"/>
        <v>795</v>
      </c>
      <c r="Y130" s="107">
        <f>D130+H130+L130+P130+T130</f>
        <v>495</v>
      </c>
      <c r="Z130" s="68">
        <f>AVERAGE(E130,I130,M130,Q130,U130)</f>
        <v>159</v>
      </c>
      <c r="AA130" s="144">
        <f>AVERAGE(E130,I130,M130,Q130,U130)-C130</f>
        <v>99</v>
      </c>
      <c r="AB130" s="221"/>
    </row>
    <row r="131" spans="1:28" s="38" customFormat="1" ht="47.25" customHeight="1">
      <c r="A131" s="217" t="s">
        <v>192</v>
      </c>
      <c r="B131" s="218"/>
      <c r="C131" s="149">
        <f>SUM(C132:C134)</f>
        <v>86</v>
      </c>
      <c r="D131" s="62">
        <f>SUM(D132:D134)</f>
        <v>456</v>
      </c>
      <c r="E131" s="45">
        <f>SUM(E132:E134)</f>
        <v>542</v>
      </c>
      <c r="F131" s="45">
        <f>E135</f>
        <v>553</v>
      </c>
      <c r="G131" s="42" t="str">
        <f>A135</f>
        <v>MP Auto</v>
      </c>
      <c r="H131" s="62">
        <f>SUM(H132:H134)</f>
        <v>533</v>
      </c>
      <c r="I131" s="45">
        <f>SUM(I132:I134)</f>
        <v>619</v>
      </c>
      <c r="J131" s="45">
        <f>I143</f>
        <v>554</v>
      </c>
      <c r="K131" s="42" t="str">
        <f>A143</f>
        <v>Näpi Saeveski 2</v>
      </c>
      <c r="L131" s="133">
        <f>SUM(L132:L134)</f>
        <v>488</v>
      </c>
      <c r="M131" s="69">
        <f>SUM(M132:M134)</f>
        <v>574</v>
      </c>
      <c r="N131" s="45">
        <f>M127</f>
        <v>491</v>
      </c>
      <c r="O131" s="42" t="str">
        <f>A127</f>
        <v>Linnaking</v>
      </c>
      <c r="P131" s="45">
        <f>SUM(P132:P134)</f>
        <v>445</v>
      </c>
      <c r="Q131" s="49">
        <f>SUM(Q132:Q134)</f>
        <v>531</v>
      </c>
      <c r="R131" s="45">
        <f>Q123</f>
        <v>503</v>
      </c>
      <c r="S131" s="42" t="str">
        <f>A123</f>
        <v>Holst/ Malmberg</v>
      </c>
      <c r="T131" s="133">
        <f>SUM(T132:T134)</f>
        <v>464</v>
      </c>
      <c r="U131" s="69">
        <f>SUM(U132:U134)</f>
        <v>550</v>
      </c>
      <c r="V131" s="45">
        <f>U139</f>
        <v>545</v>
      </c>
      <c r="W131" s="42" t="str">
        <f>A139</f>
        <v>Lajos 2</v>
      </c>
      <c r="X131" s="36">
        <f t="shared" si="4"/>
        <v>2816</v>
      </c>
      <c r="Y131" s="105">
        <f>SUM(Y132:Y134)</f>
        <v>2386</v>
      </c>
      <c r="Z131" s="65">
        <f>AVERAGE(Z132,Z133,Z134)</f>
        <v>187.73333333333335</v>
      </c>
      <c r="AA131" s="142">
        <f>AVERAGE(AA132,AA133,AA134)</f>
        <v>159.06666666666666</v>
      </c>
      <c r="AB131" s="219">
        <f>F132+J132+N132+R132+V132</f>
        <v>4</v>
      </c>
    </row>
    <row r="132" spans="1:28" s="38" customFormat="1" ht="15.75" customHeight="1">
      <c r="A132" s="222" t="s">
        <v>176</v>
      </c>
      <c r="B132" s="223"/>
      <c r="C132" s="150">
        <v>25</v>
      </c>
      <c r="D132" s="59">
        <v>164</v>
      </c>
      <c r="E132" s="50">
        <f>D132+C132</f>
        <v>189</v>
      </c>
      <c r="F132" s="224">
        <v>0</v>
      </c>
      <c r="G132" s="225"/>
      <c r="H132" s="97">
        <v>232</v>
      </c>
      <c r="I132" s="46">
        <f>H132+C132</f>
        <v>257</v>
      </c>
      <c r="J132" s="224">
        <v>1</v>
      </c>
      <c r="K132" s="225"/>
      <c r="L132" s="97">
        <v>143</v>
      </c>
      <c r="M132" s="50">
        <f>L132+C132</f>
        <v>168</v>
      </c>
      <c r="N132" s="224">
        <v>1</v>
      </c>
      <c r="O132" s="225"/>
      <c r="P132" s="97">
        <v>155</v>
      </c>
      <c r="Q132" s="50">
        <f>P132+C132</f>
        <v>180</v>
      </c>
      <c r="R132" s="224">
        <v>1</v>
      </c>
      <c r="S132" s="225"/>
      <c r="T132" s="97">
        <v>154</v>
      </c>
      <c r="U132" s="50">
        <f>T132+C132</f>
        <v>179</v>
      </c>
      <c r="V132" s="224">
        <v>1</v>
      </c>
      <c r="W132" s="225"/>
      <c r="X132" s="46">
        <f t="shared" si="4"/>
        <v>973</v>
      </c>
      <c r="Y132" s="106">
        <f>D132+H132+L132+P132+T132</f>
        <v>848</v>
      </c>
      <c r="Z132" s="67">
        <f>AVERAGE(E132,I132,M132,Q132,U132)</f>
        <v>194.6</v>
      </c>
      <c r="AA132" s="143">
        <f>AVERAGE(E132,I132,M132,Q132,U132)-C132</f>
        <v>169.6</v>
      </c>
      <c r="AB132" s="220"/>
    </row>
    <row r="133" spans="1:28" s="38" customFormat="1" ht="15.75" customHeight="1">
      <c r="A133" s="222" t="s">
        <v>177</v>
      </c>
      <c r="B133" s="223"/>
      <c r="C133" s="150">
        <v>34</v>
      </c>
      <c r="D133" s="59">
        <v>145</v>
      </c>
      <c r="E133" s="50">
        <f>D133+C133</f>
        <v>179</v>
      </c>
      <c r="F133" s="226"/>
      <c r="G133" s="227"/>
      <c r="H133" s="98">
        <v>142</v>
      </c>
      <c r="I133" s="46">
        <f>H133+C133</f>
        <v>176</v>
      </c>
      <c r="J133" s="226"/>
      <c r="K133" s="227"/>
      <c r="L133" s="98">
        <v>164</v>
      </c>
      <c r="M133" s="50">
        <f>L133+C133</f>
        <v>198</v>
      </c>
      <c r="N133" s="226"/>
      <c r="O133" s="227"/>
      <c r="P133" s="98">
        <v>159</v>
      </c>
      <c r="Q133" s="50">
        <f>P133+C133</f>
        <v>193</v>
      </c>
      <c r="R133" s="226"/>
      <c r="S133" s="227"/>
      <c r="T133" s="98">
        <v>177</v>
      </c>
      <c r="U133" s="50">
        <f>T133+C133</f>
        <v>211</v>
      </c>
      <c r="V133" s="226"/>
      <c r="W133" s="227"/>
      <c r="X133" s="46">
        <f t="shared" si="4"/>
        <v>957</v>
      </c>
      <c r="Y133" s="106">
        <f>D133+H133+L133+P133+T133</f>
        <v>787</v>
      </c>
      <c r="Z133" s="67">
        <f>AVERAGE(E133,I133,M133,Q133,U133)</f>
        <v>191.4</v>
      </c>
      <c r="AA133" s="143">
        <f>AVERAGE(E133,I133,M133,Q133,U133)-C133</f>
        <v>157.4</v>
      </c>
      <c r="AB133" s="220"/>
    </row>
    <row r="134" spans="1:28" s="38" customFormat="1" ht="15.75" customHeight="1" thickBot="1">
      <c r="A134" s="229" t="s">
        <v>178</v>
      </c>
      <c r="B134" s="230"/>
      <c r="C134" s="151">
        <v>27</v>
      </c>
      <c r="D134" s="60">
        <v>147</v>
      </c>
      <c r="E134" s="50">
        <f>D134+C134</f>
        <v>174</v>
      </c>
      <c r="F134" s="204"/>
      <c r="G134" s="228"/>
      <c r="H134" s="99">
        <v>159</v>
      </c>
      <c r="I134" s="46">
        <f>H134+C134</f>
        <v>186</v>
      </c>
      <c r="J134" s="204"/>
      <c r="K134" s="228"/>
      <c r="L134" s="99">
        <v>181</v>
      </c>
      <c r="M134" s="50">
        <f>L134+C134</f>
        <v>208</v>
      </c>
      <c r="N134" s="204"/>
      <c r="O134" s="228"/>
      <c r="P134" s="99">
        <v>131</v>
      </c>
      <c r="Q134" s="50">
        <f>P134+C134</f>
        <v>158</v>
      </c>
      <c r="R134" s="204"/>
      <c r="S134" s="228"/>
      <c r="T134" s="99">
        <v>133</v>
      </c>
      <c r="U134" s="50">
        <f>T134+C134</f>
        <v>160</v>
      </c>
      <c r="V134" s="204"/>
      <c r="W134" s="228"/>
      <c r="X134" s="47">
        <f t="shared" si="4"/>
        <v>886</v>
      </c>
      <c r="Y134" s="107">
        <f>D134+H134+L134+P134+T134</f>
        <v>751</v>
      </c>
      <c r="Z134" s="68">
        <f>AVERAGE(E134,I134,M134,Q134,U134)</f>
        <v>177.2</v>
      </c>
      <c r="AA134" s="144">
        <f>AVERAGE(E134,I134,M134,Q134,U134)-C134</f>
        <v>150.2</v>
      </c>
      <c r="AB134" s="221"/>
    </row>
    <row r="135" spans="1:28" s="38" customFormat="1" ht="39" customHeight="1">
      <c r="A135" s="217" t="s">
        <v>223</v>
      </c>
      <c r="B135" s="218"/>
      <c r="C135" s="149">
        <f>SUM(C136:C138)</f>
        <v>141</v>
      </c>
      <c r="D135" s="62">
        <f>SUM(D136:D138)</f>
        <v>412</v>
      </c>
      <c r="E135" s="45">
        <f>SUM(E136:E138)</f>
        <v>553</v>
      </c>
      <c r="F135" s="45">
        <f>E131</f>
        <v>542</v>
      </c>
      <c r="G135" s="42" t="str">
        <f>A131</f>
        <v>VÄRSKA VESI</v>
      </c>
      <c r="H135" s="62">
        <f>SUM(H136:H138)</f>
        <v>381</v>
      </c>
      <c r="I135" s="45">
        <f>SUM(I136:I138)</f>
        <v>522</v>
      </c>
      <c r="J135" s="45">
        <f>I127</f>
        <v>486</v>
      </c>
      <c r="K135" s="42" t="str">
        <f>A127</f>
        <v>Linnaking</v>
      </c>
      <c r="L135" s="133">
        <f>SUM(L136:L138)</f>
        <v>408</v>
      </c>
      <c r="M135" s="49">
        <f>SUM(M136:M138)</f>
        <v>549</v>
      </c>
      <c r="N135" s="45">
        <f>M123</f>
        <v>558</v>
      </c>
      <c r="O135" s="42" t="str">
        <f>A123</f>
        <v>Holst/ Malmberg</v>
      </c>
      <c r="P135" s="45">
        <f>SUM(P136:P138)</f>
        <v>390</v>
      </c>
      <c r="Q135" s="49">
        <f>SUM(Q136:Q138)</f>
        <v>531</v>
      </c>
      <c r="R135" s="45">
        <f>Q139</f>
        <v>554</v>
      </c>
      <c r="S135" s="42" t="str">
        <f>A139</f>
        <v>Lajos 2</v>
      </c>
      <c r="T135" s="133">
        <f>SUM(T136:T138)</f>
        <v>401</v>
      </c>
      <c r="U135" s="49">
        <f>SUM(U136:U138)</f>
        <v>542</v>
      </c>
      <c r="V135" s="45">
        <f>U143</f>
        <v>508</v>
      </c>
      <c r="W135" s="42" t="str">
        <f>A143</f>
        <v>Näpi Saeveski 2</v>
      </c>
      <c r="X135" s="36">
        <f t="shared" si="4"/>
        <v>2697</v>
      </c>
      <c r="Y135" s="105">
        <f>SUM(Y136:Y138)</f>
        <v>1992</v>
      </c>
      <c r="Z135" s="65">
        <f>AVERAGE(Z136,Z137,Z138)</f>
        <v>179.79999999999998</v>
      </c>
      <c r="AA135" s="142">
        <f>AVERAGE(AA136,AA137,AA138)</f>
        <v>132.79999999999998</v>
      </c>
      <c r="AB135" s="219">
        <f>F136+J136+N136+R136+V136</f>
        <v>3</v>
      </c>
    </row>
    <row r="136" spans="1:28" s="38" customFormat="1" ht="15.75" customHeight="1">
      <c r="A136" s="222" t="s">
        <v>346</v>
      </c>
      <c r="B136" s="223"/>
      <c r="C136" s="150">
        <v>60</v>
      </c>
      <c r="D136" s="59">
        <v>148</v>
      </c>
      <c r="E136" s="50">
        <f>D136+C136</f>
        <v>208</v>
      </c>
      <c r="F136" s="224">
        <v>1</v>
      </c>
      <c r="G136" s="225"/>
      <c r="H136" s="97">
        <v>139</v>
      </c>
      <c r="I136" s="46">
        <f>H136+C136</f>
        <v>199</v>
      </c>
      <c r="J136" s="224">
        <v>1</v>
      </c>
      <c r="K136" s="225"/>
      <c r="L136" s="97">
        <v>156</v>
      </c>
      <c r="M136" s="50">
        <f>L136+C136</f>
        <v>216</v>
      </c>
      <c r="N136" s="224">
        <v>0</v>
      </c>
      <c r="O136" s="225"/>
      <c r="P136" s="97">
        <v>127</v>
      </c>
      <c r="Q136" s="50">
        <f>P136+C136</f>
        <v>187</v>
      </c>
      <c r="R136" s="224">
        <v>0</v>
      </c>
      <c r="S136" s="225"/>
      <c r="T136" s="97">
        <v>130</v>
      </c>
      <c r="U136" s="50">
        <f>T136+C136</f>
        <v>190</v>
      </c>
      <c r="V136" s="224">
        <v>1</v>
      </c>
      <c r="W136" s="225"/>
      <c r="X136" s="46">
        <f t="shared" si="4"/>
        <v>1000</v>
      </c>
      <c r="Y136" s="106">
        <f>D136+H136+L136+P136+T136</f>
        <v>700</v>
      </c>
      <c r="Z136" s="67">
        <f>AVERAGE(E136,I136,M136,Q136,U136)</f>
        <v>200</v>
      </c>
      <c r="AA136" s="143">
        <f>AVERAGE(E136,I136,M136,Q136,U136)-C136</f>
        <v>140</v>
      </c>
      <c r="AB136" s="220"/>
    </row>
    <row r="137" spans="1:28" s="38" customFormat="1" ht="15.75" customHeight="1">
      <c r="A137" s="222" t="s">
        <v>331</v>
      </c>
      <c r="B137" s="223"/>
      <c r="C137" s="150">
        <v>37</v>
      </c>
      <c r="D137" s="59">
        <v>123</v>
      </c>
      <c r="E137" s="50">
        <f>D137+C137</f>
        <v>160</v>
      </c>
      <c r="F137" s="226"/>
      <c r="G137" s="227"/>
      <c r="H137" s="98">
        <v>127</v>
      </c>
      <c r="I137" s="46">
        <f>H137+C137</f>
        <v>164</v>
      </c>
      <c r="J137" s="226"/>
      <c r="K137" s="227"/>
      <c r="L137" s="98">
        <v>128</v>
      </c>
      <c r="M137" s="50">
        <f>L137+C137</f>
        <v>165</v>
      </c>
      <c r="N137" s="226"/>
      <c r="O137" s="227"/>
      <c r="P137" s="98">
        <v>132</v>
      </c>
      <c r="Q137" s="50">
        <f>P137+C137</f>
        <v>169</v>
      </c>
      <c r="R137" s="226"/>
      <c r="S137" s="227"/>
      <c r="T137" s="98">
        <v>124</v>
      </c>
      <c r="U137" s="50">
        <f>T137+C137</f>
        <v>161</v>
      </c>
      <c r="V137" s="226"/>
      <c r="W137" s="227"/>
      <c r="X137" s="46">
        <f t="shared" si="4"/>
        <v>819</v>
      </c>
      <c r="Y137" s="106">
        <f>D137+H137+L137+P137+T137</f>
        <v>634</v>
      </c>
      <c r="Z137" s="67">
        <f>AVERAGE(E137,I137,M137,Q137,U137)</f>
        <v>163.8</v>
      </c>
      <c r="AA137" s="143">
        <f>AVERAGE(E137,I137,M137,Q137,U137)-C137</f>
        <v>126.80000000000001</v>
      </c>
      <c r="AB137" s="220"/>
    </row>
    <row r="138" spans="1:29" s="38" customFormat="1" ht="15.75" customHeight="1" thickBot="1">
      <c r="A138" s="229" t="s">
        <v>256</v>
      </c>
      <c r="B138" s="230"/>
      <c r="C138" s="151">
        <v>44</v>
      </c>
      <c r="D138" s="60">
        <v>141</v>
      </c>
      <c r="E138" s="50">
        <f>D138+C138</f>
        <v>185</v>
      </c>
      <c r="F138" s="204"/>
      <c r="G138" s="228"/>
      <c r="H138" s="99">
        <v>115</v>
      </c>
      <c r="I138" s="46">
        <f>H138+C138</f>
        <v>159</v>
      </c>
      <c r="J138" s="204"/>
      <c r="K138" s="228"/>
      <c r="L138" s="99">
        <v>124</v>
      </c>
      <c r="M138" s="50">
        <f>L138+C138</f>
        <v>168</v>
      </c>
      <c r="N138" s="204"/>
      <c r="O138" s="228"/>
      <c r="P138" s="99">
        <v>131</v>
      </c>
      <c r="Q138" s="50">
        <f>P138+C138</f>
        <v>175</v>
      </c>
      <c r="R138" s="204"/>
      <c r="S138" s="228"/>
      <c r="T138" s="99">
        <v>147</v>
      </c>
      <c r="U138" s="50">
        <f>T138+C138</f>
        <v>191</v>
      </c>
      <c r="V138" s="204"/>
      <c r="W138" s="228"/>
      <c r="X138" s="47">
        <f t="shared" si="4"/>
        <v>878</v>
      </c>
      <c r="Y138" s="107">
        <f>D138+H138+L138+P138+T138</f>
        <v>658</v>
      </c>
      <c r="Z138" s="68">
        <f>AVERAGE(E138,I138,M138,Q138,U138)</f>
        <v>175.6</v>
      </c>
      <c r="AA138" s="144">
        <f>AVERAGE(E138,I138,M138,Q138,U138)-C138</f>
        <v>131.6</v>
      </c>
      <c r="AB138" s="221"/>
      <c r="AC138" s="44"/>
    </row>
    <row r="139" spans="1:28" s="38" customFormat="1" ht="53.25" customHeight="1">
      <c r="A139" s="217" t="s">
        <v>161</v>
      </c>
      <c r="B139" s="218"/>
      <c r="C139" s="149">
        <f>SUM(C140:C142)</f>
        <v>146</v>
      </c>
      <c r="D139" s="62">
        <f>SUM(D140:D142)</f>
        <v>339</v>
      </c>
      <c r="E139" s="45">
        <f>SUM(E140:E142)</f>
        <v>485</v>
      </c>
      <c r="F139" s="45">
        <f>E127</f>
        <v>545</v>
      </c>
      <c r="G139" s="42" t="str">
        <f>A127</f>
        <v>Linnaking</v>
      </c>
      <c r="H139" s="62">
        <f>SUM(H140:H142)</f>
        <v>341</v>
      </c>
      <c r="I139" s="45">
        <f>SUM(I140:I142)</f>
        <v>487</v>
      </c>
      <c r="J139" s="45">
        <f>I123</f>
        <v>620</v>
      </c>
      <c r="K139" s="42" t="str">
        <f>A123</f>
        <v>Holst/ Malmberg</v>
      </c>
      <c r="L139" s="133">
        <f>SUM(L140:L142)</f>
        <v>363</v>
      </c>
      <c r="M139" s="69">
        <f>SUM(M140:M142)</f>
        <v>509</v>
      </c>
      <c r="N139" s="45">
        <f>M143</f>
        <v>490</v>
      </c>
      <c r="O139" s="42" t="str">
        <f>A143</f>
        <v>Näpi Saeveski 2</v>
      </c>
      <c r="P139" s="45">
        <f>SUM(P140:P142)</f>
        <v>408</v>
      </c>
      <c r="Q139" s="69">
        <f>SUM(Q140:Q142)</f>
        <v>554</v>
      </c>
      <c r="R139" s="45">
        <f>Q135</f>
        <v>531</v>
      </c>
      <c r="S139" s="42" t="str">
        <f>A135</f>
        <v>MP Auto</v>
      </c>
      <c r="T139" s="133">
        <f>SUM(T140:T142)</f>
        <v>399</v>
      </c>
      <c r="U139" s="69">
        <f>SUM(U140:U142)</f>
        <v>545</v>
      </c>
      <c r="V139" s="45">
        <f>U131</f>
        <v>550</v>
      </c>
      <c r="W139" s="42" t="str">
        <f>A131</f>
        <v>VÄRSKA VESI</v>
      </c>
      <c r="X139" s="36">
        <f t="shared" si="4"/>
        <v>2580</v>
      </c>
      <c r="Y139" s="105">
        <f>SUM(Y140:Y142)</f>
        <v>1850</v>
      </c>
      <c r="Z139" s="65">
        <f>AVERAGE(Z140,Z141,Z142)</f>
        <v>172</v>
      </c>
      <c r="AA139" s="142">
        <f>AVERAGE(AA140,AA141,AA142)</f>
        <v>123.33333333333333</v>
      </c>
      <c r="AB139" s="219">
        <f>F140+J140+N140+R140+V140</f>
        <v>2</v>
      </c>
    </row>
    <row r="140" spans="1:28" s="38" customFormat="1" ht="15.75" customHeight="1">
      <c r="A140" s="222" t="s">
        <v>144</v>
      </c>
      <c r="B140" s="223"/>
      <c r="C140" s="150">
        <v>42</v>
      </c>
      <c r="D140" s="59">
        <v>120</v>
      </c>
      <c r="E140" s="50">
        <f>D140+C140</f>
        <v>162</v>
      </c>
      <c r="F140" s="224">
        <v>0</v>
      </c>
      <c r="G140" s="225"/>
      <c r="H140" s="97">
        <v>88</v>
      </c>
      <c r="I140" s="46">
        <f>H140+C140</f>
        <v>130</v>
      </c>
      <c r="J140" s="224">
        <v>0</v>
      </c>
      <c r="K140" s="225"/>
      <c r="L140" s="97">
        <v>129</v>
      </c>
      <c r="M140" s="50">
        <f>L140+C140</f>
        <v>171</v>
      </c>
      <c r="N140" s="224">
        <v>1</v>
      </c>
      <c r="O140" s="225"/>
      <c r="P140" s="97">
        <v>158</v>
      </c>
      <c r="Q140" s="50">
        <f>P140+C140</f>
        <v>200</v>
      </c>
      <c r="R140" s="224">
        <v>1</v>
      </c>
      <c r="S140" s="225"/>
      <c r="T140" s="97">
        <v>135</v>
      </c>
      <c r="U140" s="50">
        <f>T140+C140</f>
        <v>177</v>
      </c>
      <c r="V140" s="224">
        <v>0</v>
      </c>
      <c r="W140" s="225"/>
      <c r="X140" s="46">
        <f t="shared" si="4"/>
        <v>840</v>
      </c>
      <c r="Y140" s="106">
        <f>D140+H140+L140+P140+T140</f>
        <v>630</v>
      </c>
      <c r="Z140" s="67">
        <f>AVERAGE(E140,I140,M140,Q140,U140)</f>
        <v>168</v>
      </c>
      <c r="AA140" s="143">
        <f>AVERAGE(E140,I140,M140,Q140,U140)-C140</f>
        <v>126</v>
      </c>
      <c r="AB140" s="220"/>
    </row>
    <row r="141" spans="1:28" s="38" customFormat="1" ht="15.75" customHeight="1">
      <c r="A141" s="222" t="s">
        <v>145</v>
      </c>
      <c r="B141" s="223"/>
      <c r="C141" s="150">
        <v>57</v>
      </c>
      <c r="D141" s="59">
        <v>114</v>
      </c>
      <c r="E141" s="50">
        <f>D141+C141</f>
        <v>171</v>
      </c>
      <c r="F141" s="226"/>
      <c r="G141" s="227"/>
      <c r="H141" s="98">
        <v>98</v>
      </c>
      <c r="I141" s="46">
        <f>H141+C141</f>
        <v>155</v>
      </c>
      <c r="J141" s="226"/>
      <c r="K141" s="227"/>
      <c r="L141" s="98">
        <v>100</v>
      </c>
      <c r="M141" s="50">
        <f>L141+C141</f>
        <v>157</v>
      </c>
      <c r="N141" s="226"/>
      <c r="O141" s="227"/>
      <c r="P141" s="98">
        <v>114</v>
      </c>
      <c r="Q141" s="50">
        <f>P141+C141</f>
        <v>171</v>
      </c>
      <c r="R141" s="226"/>
      <c r="S141" s="227"/>
      <c r="T141" s="98">
        <v>108</v>
      </c>
      <c r="U141" s="50">
        <f>T141+C141</f>
        <v>165</v>
      </c>
      <c r="V141" s="226"/>
      <c r="W141" s="227"/>
      <c r="X141" s="46">
        <f t="shared" si="4"/>
        <v>819</v>
      </c>
      <c r="Y141" s="106">
        <f>D141+H141+L141+P141+T141</f>
        <v>534</v>
      </c>
      <c r="Z141" s="67">
        <f>AVERAGE(E141,I141,M141,Q141,U141)</f>
        <v>163.8</v>
      </c>
      <c r="AA141" s="143">
        <f>AVERAGE(E141,I141,M141,Q141,U141)-C141</f>
        <v>106.80000000000001</v>
      </c>
      <c r="AB141" s="220"/>
    </row>
    <row r="142" spans="1:28" s="38" customFormat="1" ht="15.75" customHeight="1" thickBot="1">
      <c r="A142" s="229" t="s">
        <v>325</v>
      </c>
      <c r="B142" s="230"/>
      <c r="C142" s="151">
        <v>47</v>
      </c>
      <c r="D142" s="60">
        <v>105</v>
      </c>
      <c r="E142" s="50">
        <f>D142+C142</f>
        <v>152</v>
      </c>
      <c r="F142" s="204"/>
      <c r="G142" s="228"/>
      <c r="H142" s="99">
        <v>155</v>
      </c>
      <c r="I142" s="46">
        <f>H142+C142</f>
        <v>202</v>
      </c>
      <c r="J142" s="204"/>
      <c r="K142" s="228"/>
      <c r="L142" s="99">
        <v>134</v>
      </c>
      <c r="M142" s="50">
        <f>L142+C142</f>
        <v>181</v>
      </c>
      <c r="N142" s="204"/>
      <c r="O142" s="228"/>
      <c r="P142" s="99">
        <v>136</v>
      </c>
      <c r="Q142" s="50">
        <f>P142+C142</f>
        <v>183</v>
      </c>
      <c r="R142" s="204"/>
      <c r="S142" s="228"/>
      <c r="T142" s="99">
        <v>156</v>
      </c>
      <c r="U142" s="50">
        <f>T142+C142</f>
        <v>203</v>
      </c>
      <c r="V142" s="204"/>
      <c r="W142" s="228"/>
      <c r="X142" s="47">
        <f t="shared" si="4"/>
        <v>921</v>
      </c>
      <c r="Y142" s="107">
        <f>D142+H142+L142+P142+T142</f>
        <v>686</v>
      </c>
      <c r="Z142" s="68">
        <f>AVERAGE(E142,I142,M142,Q142,U142)</f>
        <v>184.2</v>
      </c>
      <c r="AA142" s="144">
        <f>AVERAGE(E142,I142,M142,Q142,U142)-C142</f>
        <v>137.2</v>
      </c>
      <c r="AB142" s="221"/>
    </row>
    <row r="143" spans="1:28" s="38" customFormat="1" ht="42" customHeight="1">
      <c r="A143" s="217" t="s">
        <v>241</v>
      </c>
      <c r="B143" s="218"/>
      <c r="C143" s="149">
        <f>SUM(C144:C146)</f>
        <v>170</v>
      </c>
      <c r="D143" s="62">
        <f>SUM(D144:D146)</f>
        <v>379</v>
      </c>
      <c r="E143" s="45">
        <f>SUM(E144:E146)</f>
        <v>549</v>
      </c>
      <c r="F143" s="45">
        <f>E123</f>
        <v>467</v>
      </c>
      <c r="G143" s="42" t="str">
        <f>A123</f>
        <v>Holst/ Malmberg</v>
      </c>
      <c r="H143" s="62">
        <f>SUM(H144:H146)</f>
        <v>384</v>
      </c>
      <c r="I143" s="45">
        <f>SUM(I144:I146)</f>
        <v>554</v>
      </c>
      <c r="J143" s="45">
        <f>I131</f>
        <v>619</v>
      </c>
      <c r="K143" s="42" t="str">
        <f>A131</f>
        <v>VÄRSKA VESI</v>
      </c>
      <c r="L143" s="133">
        <f>SUM(L144:L146)</f>
        <v>320</v>
      </c>
      <c r="M143" s="49">
        <f>SUM(M144:M146)</f>
        <v>490</v>
      </c>
      <c r="N143" s="45">
        <f>M139</f>
        <v>509</v>
      </c>
      <c r="O143" s="42" t="str">
        <f>A139</f>
        <v>Lajos 2</v>
      </c>
      <c r="P143" s="45">
        <f>SUM(P144:P146)</f>
        <v>300</v>
      </c>
      <c r="Q143" s="49">
        <f>SUM(Q144:Q146)</f>
        <v>470</v>
      </c>
      <c r="R143" s="45">
        <f>Q127</f>
        <v>541</v>
      </c>
      <c r="S143" s="42" t="str">
        <f>A127</f>
        <v>Linnaking</v>
      </c>
      <c r="T143" s="133">
        <f>SUM(T144:T146)</f>
        <v>338</v>
      </c>
      <c r="U143" s="49">
        <f>SUM(U144:U146)</f>
        <v>508</v>
      </c>
      <c r="V143" s="45">
        <f>U135</f>
        <v>542</v>
      </c>
      <c r="W143" s="42" t="str">
        <f>A135</f>
        <v>MP Auto</v>
      </c>
      <c r="X143" s="36">
        <f t="shared" si="4"/>
        <v>2571</v>
      </c>
      <c r="Y143" s="105">
        <f>SUM(Y144:Y146)</f>
        <v>1721</v>
      </c>
      <c r="Z143" s="65">
        <f>AVERAGE(Z144,Z145,Z146)</f>
        <v>171.4</v>
      </c>
      <c r="AA143" s="142">
        <f>AVERAGE(AA144,AA145,AA146)</f>
        <v>114.73333333333335</v>
      </c>
      <c r="AB143" s="219">
        <f>F144+J144+N144+R144+V144</f>
        <v>1</v>
      </c>
    </row>
    <row r="144" spans="1:28" s="38" customFormat="1" ht="15.75" customHeight="1">
      <c r="A144" s="222" t="s">
        <v>242</v>
      </c>
      <c r="B144" s="223"/>
      <c r="C144" s="150">
        <v>60</v>
      </c>
      <c r="D144" s="59">
        <v>101</v>
      </c>
      <c r="E144" s="50">
        <f>D144+C144</f>
        <v>161</v>
      </c>
      <c r="F144" s="224">
        <v>1</v>
      </c>
      <c r="G144" s="225"/>
      <c r="H144" s="97">
        <v>126</v>
      </c>
      <c r="I144" s="46">
        <f>H144+C144</f>
        <v>186</v>
      </c>
      <c r="J144" s="224">
        <v>0</v>
      </c>
      <c r="K144" s="225"/>
      <c r="L144" s="97">
        <v>88</v>
      </c>
      <c r="M144" s="50">
        <f>L144+C144</f>
        <v>148</v>
      </c>
      <c r="N144" s="224">
        <v>0</v>
      </c>
      <c r="O144" s="225"/>
      <c r="P144" s="97">
        <v>78</v>
      </c>
      <c r="Q144" s="50">
        <f>P144+C144</f>
        <v>138</v>
      </c>
      <c r="R144" s="224">
        <v>0</v>
      </c>
      <c r="S144" s="225"/>
      <c r="T144" s="97">
        <v>111</v>
      </c>
      <c r="U144" s="50">
        <f>T144+C144</f>
        <v>171</v>
      </c>
      <c r="V144" s="224">
        <v>0</v>
      </c>
      <c r="W144" s="225"/>
      <c r="X144" s="46">
        <f t="shared" si="4"/>
        <v>804</v>
      </c>
      <c r="Y144" s="106">
        <f>D144+H144+L144+P144+T144</f>
        <v>504</v>
      </c>
      <c r="Z144" s="67">
        <f>AVERAGE(E144,I144,M144,Q144,U144)</f>
        <v>160.8</v>
      </c>
      <c r="AA144" s="143">
        <f>AVERAGE(E144,I144,M144,Q144,U144)-C144</f>
        <v>100.80000000000001</v>
      </c>
      <c r="AB144" s="220"/>
    </row>
    <row r="145" spans="1:28" s="38" customFormat="1" ht="15.75" customHeight="1">
      <c r="A145" s="222" t="s">
        <v>244</v>
      </c>
      <c r="B145" s="223"/>
      <c r="C145" s="150">
        <v>60</v>
      </c>
      <c r="D145" s="59">
        <v>116</v>
      </c>
      <c r="E145" s="50">
        <f>D145+C145</f>
        <v>176</v>
      </c>
      <c r="F145" s="226"/>
      <c r="G145" s="227"/>
      <c r="H145" s="98">
        <v>119</v>
      </c>
      <c r="I145" s="46">
        <f>H145+C145</f>
        <v>179</v>
      </c>
      <c r="J145" s="226"/>
      <c r="K145" s="227"/>
      <c r="L145" s="98">
        <v>99</v>
      </c>
      <c r="M145" s="50">
        <f>L145+C145</f>
        <v>159</v>
      </c>
      <c r="N145" s="226"/>
      <c r="O145" s="227"/>
      <c r="P145" s="98">
        <v>110</v>
      </c>
      <c r="Q145" s="50">
        <f>P145+C145</f>
        <v>170</v>
      </c>
      <c r="R145" s="226"/>
      <c r="S145" s="227"/>
      <c r="T145" s="98">
        <v>113</v>
      </c>
      <c r="U145" s="50">
        <f>T145+C145</f>
        <v>173</v>
      </c>
      <c r="V145" s="226"/>
      <c r="W145" s="227"/>
      <c r="X145" s="46">
        <f t="shared" si="4"/>
        <v>857</v>
      </c>
      <c r="Y145" s="106">
        <f>D145+H145+L145+P145+T145</f>
        <v>557</v>
      </c>
      <c r="Z145" s="67">
        <f>AVERAGE(E145,I145,M145,Q145,U145)</f>
        <v>171.4</v>
      </c>
      <c r="AA145" s="143">
        <f>AVERAGE(E145,I145,M145,Q145,U145)-C145</f>
        <v>111.4</v>
      </c>
      <c r="AB145" s="220"/>
    </row>
    <row r="146" spans="1:28" s="38" customFormat="1" ht="15.75" customHeight="1" thickBot="1">
      <c r="A146" s="229" t="s">
        <v>267</v>
      </c>
      <c r="B146" s="230"/>
      <c r="C146" s="151">
        <v>50</v>
      </c>
      <c r="D146" s="60">
        <v>162</v>
      </c>
      <c r="E146" s="50">
        <f>D146+C146</f>
        <v>212</v>
      </c>
      <c r="F146" s="204"/>
      <c r="G146" s="228"/>
      <c r="H146" s="99">
        <v>139</v>
      </c>
      <c r="I146" s="46">
        <f>H146+C146</f>
        <v>189</v>
      </c>
      <c r="J146" s="204"/>
      <c r="K146" s="228"/>
      <c r="L146" s="99">
        <v>133</v>
      </c>
      <c r="M146" s="50">
        <f>L146+C146</f>
        <v>183</v>
      </c>
      <c r="N146" s="204"/>
      <c r="O146" s="228"/>
      <c r="P146" s="99">
        <v>112</v>
      </c>
      <c r="Q146" s="50">
        <f>P146+C146</f>
        <v>162</v>
      </c>
      <c r="R146" s="204"/>
      <c r="S146" s="228"/>
      <c r="T146" s="99">
        <v>114</v>
      </c>
      <c r="U146" s="50">
        <f>T146+C146</f>
        <v>164</v>
      </c>
      <c r="V146" s="204"/>
      <c r="W146" s="228"/>
      <c r="X146" s="47">
        <f t="shared" si="4"/>
        <v>910</v>
      </c>
      <c r="Y146" s="107">
        <f>D146+H146+L146+P146+T146</f>
        <v>660</v>
      </c>
      <c r="Z146" s="68">
        <f>AVERAGE(E146,I146,M146,Q146,U146)</f>
        <v>182</v>
      </c>
      <c r="AA146" s="144">
        <f>AVERAGE(E146,I146,M146,Q146,U146)-C146</f>
        <v>132</v>
      </c>
      <c r="AB146" s="221"/>
    </row>
    <row r="147" spans="1:28" s="40" customFormat="1" ht="9" customHeight="1">
      <c r="A147" s="207" t="s">
        <v>349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4"/>
      <c r="W147" s="25"/>
      <c r="Y147" s="57"/>
      <c r="Z147" s="41"/>
      <c r="AA147" s="139"/>
      <c r="AB147" s="25"/>
    </row>
    <row r="148" spans="1:28" s="40" customFormat="1" ht="6" customHeigh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4"/>
      <c r="W148" s="25"/>
      <c r="Y148" s="57"/>
      <c r="Z148" s="41"/>
      <c r="AA148" s="139"/>
      <c r="AB148" s="25"/>
    </row>
    <row r="149" spans="1:28" s="40" customFormat="1" ht="23.25" customHeight="1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5"/>
      <c r="W149" s="25"/>
      <c r="Y149" s="57"/>
      <c r="Z149" s="41"/>
      <c r="AA149" s="139"/>
      <c r="AB149" s="25"/>
    </row>
    <row r="150" spans="1:28" s="31" customFormat="1" ht="15.75" customHeight="1">
      <c r="A150" s="209" t="s">
        <v>0</v>
      </c>
      <c r="B150" s="210"/>
      <c r="C150" s="147" t="s">
        <v>39</v>
      </c>
      <c r="D150" s="55"/>
      <c r="E150" s="27" t="s">
        <v>1</v>
      </c>
      <c r="F150" s="211" t="s">
        <v>2</v>
      </c>
      <c r="G150" s="212"/>
      <c r="H150" s="94"/>
      <c r="I150" s="27" t="s">
        <v>3</v>
      </c>
      <c r="J150" s="211" t="s">
        <v>2</v>
      </c>
      <c r="K150" s="212"/>
      <c r="L150" s="94"/>
      <c r="M150" s="27" t="s">
        <v>4</v>
      </c>
      <c r="N150" s="211" t="s">
        <v>2</v>
      </c>
      <c r="O150" s="212"/>
      <c r="P150" s="94"/>
      <c r="Q150" s="27" t="s">
        <v>5</v>
      </c>
      <c r="R150" s="211" t="s">
        <v>2</v>
      </c>
      <c r="S150" s="212"/>
      <c r="T150" s="94"/>
      <c r="U150" s="27" t="s">
        <v>6</v>
      </c>
      <c r="V150" s="211" t="s">
        <v>2</v>
      </c>
      <c r="W150" s="212"/>
      <c r="X150" s="28" t="s">
        <v>7</v>
      </c>
      <c r="Y150" s="104"/>
      <c r="Z150" s="29" t="s">
        <v>40</v>
      </c>
      <c r="AA150" s="140" t="s">
        <v>42</v>
      </c>
      <c r="AB150" s="30" t="s">
        <v>7</v>
      </c>
    </row>
    <row r="151" spans="1:28" s="31" customFormat="1" ht="15.75" customHeight="1" thickBot="1">
      <c r="A151" s="213" t="s">
        <v>9</v>
      </c>
      <c r="B151" s="214"/>
      <c r="C151" s="148"/>
      <c r="D151" s="56"/>
      <c r="E151" s="32" t="s">
        <v>10</v>
      </c>
      <c r="F151" s="211" t="s">
        <v>11</v>
      </c>
      <c r="G151" s="212"/>
      <c r="H151" s="95"/>
      <c r="I151" s="32" t="s">
        <v>10</v>
      </c>
      <c r="J151" s="215" t="s">
        <v>11</v>
      </c>
      <c r="K151" s="216"/>
      <c r="L151" s="95"/>
      <c r="M151" s="32" t="s">
        <v>10</v>
      </c>
      <c r="N151" s="215" t="s">
        <v>11</v>
      </c>
      <c r="O151" s="216"/>
      <c r="P151" s="95"/>
      <c r="Q151" s="32" t="s">
        <v>10</v>
      </c>
      <c r="R151" s="215" t="s">
        <v>11</v>
      </c>
      <c r="S151" s="216"/>
      <c r="T151" s="95"/>
      <c r="U151" s="32" t="s">
        <v>10</v>
      </c>
      <c r="V151" s="215" t="s">
        <v>11</v>
      </c>
      <c r="W151" s="216"/>
      <c r="X151" s="33" t="s">
        <v>10</v>
      </c>
      <c r="Y151" s="134" t="s">
        <v>287</v>
      </c>
      <c r="Z151" s="34" t="s">
        <v>41</v>
      </c>
      <c r="AA151" s="141" t="s">
        <v>43</v>
      </c>
      <c r="AB151" s="35" t="s">
        <v>12</v>
      </c>
    </row>
    <row r="152" spans="1:28" s="38" customFormat="1" ht="42" customHeight="1">
      <c r="A152" s="217" t="s">
        <v>128</v>
      </c>
      <c r="B152" s="218"/>
      <c r="C152" s="149">
        <f>SUM(C153:C155)</f>
        <v>157</v>
      </c>
      <c r="D152" s="62">
        <f>SUM(D153:D155)</f>
        <v>384</v>
      </c>
      <c r="E152" s="63">
        <f>SUM(E153:E155)</f>
        <v>541</v>
      </c>
      <c r="F152" s="46">
        <f>E172</f>
        <v>526</v>
      </c>
      <c r="G152" s="64" t="str">
        <f>A172</f>
        <v>Toode</v>
      </c>
      <c r="H152" s="62">
        <f>SUM(H153:H155)</f>
        <v>414</v>
      </c>
      <c r="I152" s="49">
        <f>SUM(I153:I155)</f>
        <v>571</v>
      </c>
      <c r="J152" s="49">
        <f>I168</f>
        <v>531</v>
      </c>
      <c r="K152" s="42" t="str">
        <f>A168</f>
        <v>STIK</v>
      </c>
      <c r="L152" s="58">
        <f>SUM(L153:L155)</f>
        <v>369</v>
      </c>
      <c r="M152" s="45">
        <f>SUM(M153:M155)</f>
        <v>526</v>
      </c>
      <c r="N152" s="45">
        <f>M164</f>
        <v>506</v>
      </c>
      <c r="O152" s="42" t="str">
        <f>A164</f>
        <v>Näpi Saeveski</v>
      </c>
      <c r="P152" s="45">
        <f>SUM(P153:P155)</f>
        <v>355</v>
      </c>
      <c r="Q152" s="45">
        <f>SUM(Q153:Q155)</f>
        <v>512</v>
      </c>
      <c r="R152" s="45">
        <f>Q160</f>
        <v>594</v>
      </c>
      <c r="S152" s="42" t="str">
        <f>A160</f>
        <v>AKAT 2</v>
      </c>
      <c r="T152" s="133">
        <f>SUM(T153:T155)</f>
        <v>348</v>
      </c>
      <c r="U152" s="45">
        <f>SUM(U153:U155)</f>
        <v>505</v>
      </c>
      <c r="V152" s="45">
        <f>U156</f>
        <v>569</v>
      </c>
      <c r="W152" s="42" t="str">
        <f>A156</f>
        <v>RT EHITUS</v>
      </c>
      <c r="X152" s="36">
        <f aca="true" t="shared" si="5" ref="X152:X175">E152+I152+M152+Q152+U152</f>
        <v>2655</v>
      </c>
      <c r="Y152" s="105">
        <f>SUM(Y153:Y155)</f>
        <v>1870</v>
      </c>
      <c r="Z152" s="37">
        <f>AVERAGE(Z153,Z154,Z155)</f>
        <v>177</v>
      </c>
      <c r="AA152" s="142">
        <f>AVERAGE(AA153,AA154,AA155)</f>
        <v>124.66666666666667</v>
      </c>
      <c r="AB152" s="219">
        <f>F153+J153+N153+R153+V153</f>
        <v>3</v>
      </c>
    </row>
    <row r="153" spans="1:28" s="38" customFormat="1" ht="15.75" customHeight="1">
      <c r="A153" s="222" t="s">
        <v>283</v>
      </c>
      <c r="B153" s="223"/>
      <c r="C153" s="150">
        <v>51</v>
      </c>
      <c r="D153" s="59">
        <v>126</v>
      </c>
      <c r="E153" s="50">
        <f>C153+D153</f>
        <v>177</v>
      </c>
      <c r="F153" s="224">
        <v>1</v>
      </c>
      <c r="G153" s="225"/>
      <c r="H153" s="97">
        <v>126</v>
      </c>
      <c r="I153" s="46">
        <f>H153+C153</f>
        <v>177</v>
      </c>
      <c r="J153" s="224">
        <v>1</v>
      </c>
      <c r="K153" s="225"/>
      <c r="L153" s="97">
        <v>112</v>
      </c>
      <c r="M153" s="50">
        <f>L153+C153</f>
        <v>163</v>
      </c>
      <c r="N153" s="224">
        <v>1</v>
      </c>
      <c r="O153" s="225"/>
      <c r="P153" s="97">
        <v>100</v>
      </c>
      <c r="Q153" s="50">
        <f>P153+C153</f>
        <v>151</v>
      </c>
      <c r="R153" s="224">
        <v>0</v>
      </c>
      <c r="S153" s="225"/>
      <c r="T153" s="97">
        <v>101</v>
      </c>
      <c r="U153" s="50">
        <f>T153+C153</f>
        <v>152</v>
      </c>
      <c r="V153" s="224">
        <v>0</v>
      </c>
      <c r="W153" s="225"/>
      <c r="X153" s="46">
        <f t="shared" si="5"/>
        <v>820</v>
      </c>
      <c r="Y153" s="106">
        <f>D153+H153+L153+P153+T153</f>
        <v>565</v>
      </c>
      <c r="Z153" s="67">
        <f>AVERAGE(E153,I153,M153,Q153,U153)</f>
        <v>164</v>
      </c>
      <c r="AA153" s="143">
        <f>AVERAGE(E153,I153,M153,Q153,U153)-C153</f>
        <v>113</v>
      </c>
      <c r="AB153" s="220"/>
    </row>
    <row r="154" spans="1:28" s="38" customFormat="1" ht="15.75" customHeight="1">
      <c r="A154" s="222" t="s">
        <v>284</v>
      </c>
      <c r="B154" s="223"/>
      <c r="C154" s="150">
        <v>52</v>
      </c>
      <c r="D154" s="59">
        <v>138</v>
      </c>
      <c r="E154" s="50">
        <f>C154+D154</f>
        <v>190</v>
      </c>
      <c r="F154" s="226"/>
      <c r="G154" s="227"/>
      <c r="H154" s="98">
        <v>170</v>
      </c>
      <c r="I154" s="46">
        <f>H154+C154</f>
        <v>222</v>
      </c>
      <c r="J154" s="226"/>
      <c r="K154" s="227"/>
      <c r="L154" s="98">
        <v>125</v>
      </c>
      <c r="M154" s="50">
        <f>L154+C154</f>
        <v>177</v>
      </c>
      <c r="N154" s="226"/>
      <c r="O154" s="227"/>
      <c r="P154" s="98">
        <v>137</v>
      </c>
      <c r="Q154" s="50">
        <f>P154+C154</f>
        <v>189</v>
      </c>
      <c r="R154" s="226"/>
      <c r="S154" s="227"/>
      <c r="T154" s="98">
        <v>123</v>
      </c>
      <c r="U154" s="50">
        <f>T154+C154</f>
        <v>175</v>
      </c>
      <c r="V154" s="226"/>
      <c r="W154" s="227"/>
      <c r="X154" s="46">
        <f t="shared" si="5"/>
        <v>953</v>
      </c>
      <c r="Y154" s="106">
        <f>D154+H154+L154+P154+T154</f>
        <v>693</v>
      </c>
      <c r="Z154" s="67">
        <f>AVERAGE(E154,I154,M154,Q154,U154)</f>
        <v>190.6</v>
      </c>
      <c r="AA154" s="143">
        <f>AVERAGE(E154,I154,M154,Q154,U154)-C154</f>
        <v>138.6</v>
      </c>
      <c r="AB154" s="220"/>
    </row>
    <row r="155" spans="1:28" s="38" customFormat="1" ht="16.5" customHeight="1" thickBot="1">
      <c r="A155" s="229" t="s">
        <v>118</v>
      </c>
      <c r="B155" s="230"/>
      <c r="C155" s="151">
        <v>54</v>
      </c>
      <c r="D155" s="60">
        <v>120</v>
      </c>
      <c r="E155" s="50">
        <f>C155+D155</f>
        <v>174</v>
      </c>
      <c r="F155" s="204"/>
      <c r="G155" s="228"/>
      <c r="H155" s="99">
        <v>118</v>
      </c>
      <c r="I155" s="46">
        <f>H155+C155</f>
        <v>172</v>
      </c>
      <c r="J155" s="204"/>
      <c r="K155" s="228"/>
      <c r="L155" s="99">
        <v>132</v>
      </c>
      <c r="M155" s="50">
        <f>L155+C155</f>
        <v>186</v>
      </c>
      <c r="N155" s="204"/>
      <c r="O155" s="228"/>
      <c r="P155" s="99">
        <v>118</v>
      </c>
      <c r="Q155" s="50">
        <f>P155+C155</f>
        <v>172</v>
      </c>
      <c r="R155" s="204"/>
      <c r="S155" s="228"/>
      <c r="T155" s="99">
        <v>124</v>
      </c>
      <c r="U155" s="50">
        <f>T155+C155</f>
        <v>178</v>
      </c>
      <c r="V155" s="204"/>
      <c r="W155" s="228"/>
      <c r="X155" s="47">
        <f t="shared" si="5"/>
        <v>882</v>
      </c>
      <c r="Y155" s="107">
        <f>D155+H155+L155+P155+T155</f>
        <v>612</v>
      </c>
      <c r="Z155" s="68">
        <f>AVERAGE(E155,I155,M155,Q155,U155)</f>
        <v>176.4</v>
      </c>
      <c r="AA155" s="144">
        <f>AVERAGE(E155,I155,M155,Q155,U155)-C155</f>
        <v>122.4</v>
      </c>
      <c r="AB155" s="221"/>
    </row>
    <row r="156" spans="1:28" s="38" customFormat="1" ht="41.25" customHeight="1">
      <c r="A156" s="217" t="s">
        <v>229</v>
      </c>
      <c r="B156" s="218"/>
      <c r="C156" s="149">
        <f>SUM(C157:C159)</f>
        <v>174</v>
      </c>
      <c r="D156" s="62">
        <f>SUM(D157:D159)</f>
        <v>349</v>
      </c>
      <c r="E156" s="45">
        <f>SUM(E157:E159)</f>
        <v>523</v>
      </c>
      <c r="F156" s="45">
        <f>E168</f>
        <v>550</v>
      </c>
      <c r="G156" s="42" t="str">
        <f>A168</f>
        <v>STIK</v>
      </c>
      <c r="H156" s="62">
        <f>SUM(H157:H159)</f>
        <v>323</v>
      </c>
      <c r="I156" s="45">
        <f>SUM(I157:I159)</f>
        <v>497</v>
      </c>
      <c r="J156" s="45">
        <f>I164</f>
        <v>596</v>
      </c>
      <c r="K156" s="42" t="str">
        <f>A164</f>
        <v>Näpi Saeveski</v>
      </c>
      <c r="L156" s="133">
        <f>SUM(L157:L159)</f>
        <v>314</v>
      </c>
      <c r="M156" s="49">
        <f>SUM(M157:M159)</f>
        <v>488</v>
      </c>
      <c r="N156" s="45">
        <f>M160</f>
        <v>513</v>
      </c>
      <c r="O156" s="42" t="str">
        <f>A160</f>
        <v>AKAT 2</v>
      </c>
      <c r="P156" s="45">
        <f>SUM(P157:P159)</f>
        <v>341</v>
      </c>
      <c r="Q156" s="49">
        <f>SUM(Q157:Q159)</f>
        <v>515</v>
      </c>
      <c r="R156" s="45">
        <f>Q172</f>
        <v>563</v>
      </c>
      <c r="S156" s="42" t="str">
        <f>A172</f>
        <v>Toode</v>
      </c>
      <c r="T156" s="133">
        <f>SUM(T157:T159)</f>
        <v>395</v>
      </c>
      <c r="U156" s="49">
        <f>SUM(U157:U159)</f>
        <v>569</v>
      </c>
      <c r="V156" s="45">
        <f>U152</f>
        <v>505</v>
      </c>
      <c r="W156" s="42" t="str">
        <f>A152</f>
        <v>Raktoom</v>
      </c>
      <c r="X156" s="36">
        <f t="shared" si="5"/>
        <v>2592</v>
      </c>
      <c r="Y156" s="105">
        <f>SUM(Y157:Y159)</f>
        <v>1722</v>
      </c>
      <c r="Z156" s="65">
        <f>AVERAGE(Z157,Z158,Z159)</f>
        <v>172.79999999999998</v>
      </c>
      <c r="AA156" s="142">
        <f>AVERAGE(AA157,AA158,AA159)</f>
        <v>114.8</v>
      </c>
      <c r="AB156" s="219">
        <f>F157+J157+N157+R157+V157</f>
        <v>1</v>
      </c>
    </row>
    <row r="157" spans="1:28" s="38" customFormat="1" ht="15.75" customHeight="1">
      <c r="A157" s="222" t="s">
        <v>232</v>
      </c>
      <c r="B157" s="223"/>
      <c r="C157" s="150">
        <v>57</v>
      </c>
      <c r="D157" s="59">
        <v>124</v>
      </c>
      <c r="E157" s="50">
        <f>C157+D157</f>
        <v>181</v>
      </c>
      <c r="F157" s="224">
        <v>0</v>
      </c>
      <c r="G157" s="225"/>
      <c r="H157" s="97">
        <v>137</v>
      </c>
      <c r="I157" s="46">
        <f>H157+C157</f>
        <v>194</v>
      </c>
      <c r="J157" s="224">
        <v>0</v>
      </c>
      <c r="K157" s="225"/>
      <c r="L157" s="97">
        <v>108</v>
      </c>
      <c r="M157" s="50">
        <f>L157+C157</f>
        <v>165</v>
      </c>
      <c r="N157" s="224">
        <v>0</v>
      </c>
      <c r="O157" s="225"/>
      <c r="P157" s="97">
        <v>118</v>
      </c>
      <c r="Q157" s="50">
        <f>P157+C157</f>
        <v>175</v>
      </c>
      <c r="R157" s="224">
        <v>0</v>
      </c>
      <c r="S157" s="225"/>
      <c r="T157" s="97">
        <v>103</v>
      </c>
      <c r="U157" s="50">
        <f>T157+C157</f>
        <v>160</v>
      </c>
      <c r="V157" s="224">
        <v>1</v>
      </c>
      <c r="W157" s="225"/>
      <c r="X157" s="46">
        <f t="shared" si="5"/>
        <v>875</v>
      </c>
      <c r="Y157" s="106">
        <f>D157+H157+L157+P157+T157</f>
        <v>590</v>
      </c>
      <c r="Z157" s="67">
        <f>AVERAGE(E157,I157,M157,Q157,U157)</f>
        <v>175</v>
      </c>
      <c r="AA157" s="143">
        <f>AVERAGE(E157,I157,M157,Q157,U157)-C157</f>
        <v>118</v>
      </c>
      <c r="AB157" s="220"/>
    </row>
    <row r="158" spans="1:28" s="38" customFormat="1" ht="15.75" customHeight="1">
      <c r="A158" s="222" t="s">
        <v>230</v>
      </c>
      <c r="B158" s="223"/>
      <c r="C158" s="150">
        <v>60</v>
      </c>
      <c r="D158" s="59">
        <v>129</v>
      </c>
      <c r="E158" s="50">
        <f>C158+D158</f>
        <v>189</v>
      </c>
      <c r="F158" s="226"/>
      <c r="G158" s="227"/>
      <c r="H158" s="98">
        <v>82</v>
      </c>
      <c r="I158" s="46">
        <f>H158+C158</f>
        <v>142</v>
      </c>
      <c r="J158" s="226"/>
      <c r="K158" s="227"/>
      <c r="L158" s="98">
        <v>81</v>
      </c>
      <c r="M158" s="50">
        <f>L158+C158</f>
        <v>141</v>
      </c>
      <c r="N158" s="226"/>
      <c r="O158" s="227"/>
      <c r="P158" s="98">
        <v>94</v>
      </c>
      <c r="Q158" s="50">
        <f>P158+C158</f>
        <v>154</v>
      </c>
      <c r="R158" s="226"/>
      <c r="S158" s="227"/>
      <c r="T158" s="98">
        <v>125</v>
      </c>
      <c r="U158" s="50">
        <f>T158+C158</f>
        <v>185</v>
      </c>
      <c r="V158" s="226"/>
      <c r="W158" s="227"/>
      <c r="X158" s="46">
        <f t="shared" si="5"/>
        <v>811</v>
      </c>
      <c r="Y158" s="106">
        <f>D158+H158+L158+P158+T158</f>
        <v>511</v>
      </c>
      <c r="Z158" s="67">
        <f>AVERAGE(E158,I158,M158,Q158,U158)</f>
        <v>162.2</v>
      </c>
      <c r="AA158" s="143">
        <f>AVERAGE(E158,I158,M158,Q158,U158)-C158</f>
        <v>102.19999999999999</v>
      </c>
      <c r="AB158" s="220"/>
    </row>
    <row r="159" spans="1:28" s="38" customFormat="1" ht="15.75" customHeight="1" thickBot="1">
      <c r="A159" s="229" t="s">
        <v>231</v>
      </c>
      <c r="B159" s="230"/>
      <c r="C159" s="151">
        <v>57</v>
      </c>
      <c r="D159" s="60">
        <v>96</v>
      </c>
      <c r="E159" s="50">
        <f>C159+D159</f>
        <v>153</v>
      </c>
      <c r="F159" s="204"/>
      <c r="G159" s="228"/>
      <c r="H159" s="99">
        <v>104</v>
      </c>
      <c r="I159" s="46">
        <f>H159+C159</f>
        <v>161</v>
      </c>
      <c r="J159" s="204"/>
      <c r="K159" s="228"/>
      <c r="L159" s="99">
        <v>125</v>
      </c>
      <c r="M159" s="50">
        <f>L159+C159</f>
        <v>182</v>
      </c>
      <c r="N159" s="204"/>
      <c r="O159" s="228"/>
      <c r="P159" s="99">
        <v>129</v>
      </c>
      <c r="Q159" s="50">
        <f>P159+C159</f>
        <v>186</v>
      </c>
      <c r="R159" s="204"/>
      <c r="S159" s="228"/>
      <c r="T159" s="99">
        <v>167</v>
      </c>
      <c r="U159" s="50">
        <f>T159+C159</f>
        <v>224</v>
      </c>
      <c r="V159" s="204"/>
      <c r="W159" s="228"/>
      <c r="X159" s="47">
        <f t="shared" si="5"/>
        <v>906</v>
      </c>
      <c r="Y159" s="107">
        <f>D159+H159+L159+P159+T159</f>
        <v>621</v>
      </c>
      <c r="Z159" s="68">
        <f>AVERAGE(E159,I159,M159,Q159,U159)</f>
        <v>181.2</v>
      </c>
      <c r="AA159" s="144">
        <f>AVERAGE(E159,I159,M159,Q159,U159)-C159</f>
        <v>124.19999999999999</v>
      </c>
      <c r="AB159" s="221"/>
    </row>
    <row r="160" spans="1:28" s="38" customFormat="1" ht="47.25" customHeight="1">
      <c r="A160" s="217" t="s">
        <v>13</v>
      </c>
      <c r="B160" s="218"/>
      <c r="C160" s="149">
        <f>SUM(C161:C163)</f>
        <v>161</v>
      </c>
      <c r="D160" s="62">
        <f>SUM(D161:D163)</f>
        <v>412</v>
      </c>
      <c r="E160" s="45">
        <f>SUM(E161:E163)</f>
        <v>573</v>
      </c>
      <c r="F160" s="45">
        <f>E164</f>
        <v>587</v>
      </c>
      <c r="G160" s="42" t="str">
        <f>A164</f>
        <v>Näpi Saeveski</v>
      </c>
      <c r="H160" s="62">
        <f>SUM(H161:H163)</f>
        <v>347</v>
      </c>
      <c r="I160" s="45">
        <f>SUM(I161:I163)</f>
        <v>508</v>
      </c>
      <c r="J160" s="45">
        <f>I172</f>
        <v>483</v>
      </c>
      <c r="K160" s="42" t="str">
        <f>A172</f>
        <v>Toode</v>
      </c>
      <c r="L160" s="133">
        <f>SUM(L161:L163)</f>
        <v>352</v>
      </c>
      <c r="M160" s="69">
        <f>SUM(M161:M163)</f>
        <v>513</v>
      </c>
      <c r="N160" s="45">
        <f>M156</f>
        <v>488</v>
      </c>
      <c r="O160" s="42" t="str">
        <f>A156</f>
        <v>RT EHITUS</v>
      </c>
      <c r="P160" s="45">
        <f>SUM(P161:P163)</f>
        <v>433</v>
      </c>
      <c r="Q160" s="49">
        <f>SUM(Q161:Q163)</f>
        <v>594</v>
      </c>
      <c r="R160" s="45">
        <f>Q152</f>
        <v>512</v>
      </c>
      <c r="S160" s="42" t="str">
        <f>A152</f>
        <v>Raktoom</v>
      </c>
      <c r="T160" s="133">
        <f>SUM(T161:T163)</f>
        <v>364</v>
      </c>
      <c r="U160" s="69">
        <f>SUM(U161:U163)</f>
        <v>525</v>
      </c>
      <c r="V160" s="45">
        <f>U168</f>
        <v>566</v>
      </c>
      <c r="W160" s="42" t="str">
        <f>A168</f>
        <v>STIK</v>
      </c>
      <c r="X160" s="36">
        <f t="shared" si="5"/>
        <v>2713</v>
      </c>
      <c r="Y160" s="105">
        <f>SUM(Y161:Y163)</f>
        <v>1908</v>
      </c>
      <c r="Z160" s="65">
        <f>AVERAGE(Z161,Z162,Z163)</f>
        <v>180.86666666666667</v>
      </c>
      <c r="AA160" s="142">
        <f>AVERAGE(AA161,AA162,AA163)</f>
        <v>127.2</v>
      </c>
      <c r="AB160" s="219">
        <f>F161+J161+N161+R161+V161</f>
        <v>3</v>
      </c>
    </row>
    <row r="161" spans="1:28" s="38" customFormat="1" ht="15.75" customHeight="1">
      <c r="A161" s="222" t="s">
        <v>56</v>
      </c>
      <c r="B161" s="223"/>
      <c r="C161" s="150">
        <v>45</v>
      </c>
      <c r="D161" s="59">
        <v>132</v>
      </c>
      <c r="E161" s="50">
        <f>C161+D161</f>
        <v>177</v>
      </c>
      <c r="F161" s="224">
        <v>0</v>
      </c>
      <c r="G161" s="225"/>
      <c r="H161" s="97">
        <v>121</v>
      </c>
      <c r="I161" s="46">
        <f>H161+C161</f>
        <v>166</v>
      </c>
      <c r="J161" s="224">
        <v>1</v>
      </c>
      <c r="K161" s="225"/>
      <c r="L161" s="97">
        <v>107</v>
      </c>
      <c r="M161" s="50">
        <f>L161+C161</f>
        <v>152</v>
      </c>
      <c r="N161" s="224">
        <v>1</v>
      </c>
      <c r="O161" s="225"/>
      <c r="P161" s="97">
        <v>99</v>
      </c>
      <c r="Q161" s="50">
        <f>P161+C161</f>
        <v>144</v>
      </c>
      <c r="R161" s="224">
        <v>1</v>
      </c>
      <c r="S161" s="225"/>
      <c r="T161" s="97">
        <v>134</v>
      </c>
      <c r="U161" s="50">
        <f>T161+C161</f>
        <v>179</v>
      </c>
      <c r="V161" s="224">
        <v>0</v>
      </c>
      <c r="W161" s="225"/>
      <c r="X161" s="46">
        <f t="shared" si="5"/>
        <v>818</v>
      </c>
      <c r="Y161" s="106">
        <f>D161+H161+L161+P161+T161</f>
        <v>593</v>
      </c>
      <c r="Z161" s="67">
        <f>AVERAGE(E161,I161,M161,Q161,U161)</f>
        <v>163.6</v>
      </c>
      <c r="AA161" s="143">
        <f>AVERAGE(E161,I161,M161,Q161,U161)-C161</f>
        <v>118.6</v>
      </c>
      <c r="AB161" s="220"/>
    </row>
    <row r="162" spans="1:28" s="38" customFormat="1" ht="15.75" customHeight="1">
      <c r="A162" s="222" t="s">
        <v>301</v>
      </c>
      <c r="B162" s="223"/>
      <c r="C162" s="150">
        <v>60</v>
      </c>
      <c r="D162" s="59">
        <v>157</v>
      </c>
      <c r="E162" s="50">
        <f>C162+D162</f>
        <v>217</v>
      </c>
      <c r="F162" s="226"/>
      <c r="G162" s="227"/>
      <c r="H162" s="98">
        <v>128</v>
      </c>
      <c r="I162" s="46">
        <f>H162+C162</f>
        <v>188</v>
      </c>
      <c r="J162" s="226"/>
      <c r="K162" s="227"/>
      <c r="L162" s="98">
        <v>142</v>
      </c>
      <c r="M162" s="50">
        <f>L162+C162</f>
        <v>202</v>
      </c>
      <c r="N162" s="226"/>
      <c r="O162" s="227"/>
      <c r="P162" s="98">
        <v>178</v>
      </c>
      <c r="Q162" s="50">
        <f>P162+C162</f>
        <v>238</v>
      </c>
      <c r="R162" s="226"/>
      <c r="S162" s="227"/>
      <c r="T162" s="98">
        <v>127</v>
      </c>
      <c r="U162" s="50">
        <f>T162+C162</f>
        <v>187</v>
      </c>
      <c r="V162" s="226"/>
      <c r="W162" s="227"/>
      <c r="X162" s="46">
        <f t="shared" si="5"/>
        <v>1032</v>
      </c>
      <c r="Y162" s="106">
        <f>D162+H162+L162+P162+T162</f>
        <v>732</v>
      </c>
      <c r="Z162" s="67">
        <f>AVERAGE(E162,I162,M162,Q162,U162)</f>
        <v>206.4</v>
      </c>
      <c r="AA162" s="143">
        <f>AVERAGE(E162,I162,M162,Q162,U162)-C162</f>
        <v>146.4</v>
      </c>
      <c r="AB162" s="220"/>
    </row>
    <row r="163" spans="1:28" s="38" customFormat="1" ht="15.75" customHeight="1" thickBot="1">
      <c r="A163" s="229" t="s">
        <v>58</v>
      </c>
      <c r="B163" s="230"/>
      <c r="C163" s="151">
        <v>56</v>
      </c>
      <c r="D163" s="60">
        <v>123</v>
      </c>
      <c r="E163" s="50">
        <f>C163+D163</f>
        <v>179</v>
      </c>
      <c r="F163" s="204"/>
      <c r="G163" s="228"/>
      <c r="H163" s="99">
        <v>98</v>
      </c>
      <c r="I163" s="46">
        <f>H163+C163</f>
        <v>154</v>
      </c>
      <c r="J163" s="204"/>
      <c r="K163" s="228"/>
      <c r="L163" s="99">
        <v>103</v>
      </c>
      <c r="M163" s="50">
        <f>L163+C163</f>
        <v>159</v>
      </c>
      <c r="N163" s="204"/>
      <c r="O163" s="228"/>
      <c r="P163" s="99">
        <v>156</v>
      </c>
      <c r="Q163" s="50">
        <f>P163+C163</f>
        <v>212</v>
      </c>
      <c r="R163" s="204"/>
      <c r="S163" s="228"/>
      <c r="T163" s="99">
        <v>103</v>
      </c>
      <c r="U163" s="50">
        <f>T163+C163</f>
        <v>159</v>
      </c>
      <c r="V163" s="204"/>
      <c r="W163" s="228"/>
      <c r="X163" s="47">
        <f t="shared" si="5"/>
        <v>863</v>
      </c>
      <c r="Y163" s="107">
        <f>D163+H163+L163+P163+T163</f>
        <v>583</v>
      </c>
      <c r="Z163" s="68">
        <f>AVERAGE(E163,I163,M163,Q163,U163)</f>
        <v>172.6</v>
      </c>
      <c r="AA163" s="144">
        <f>AVERAGE(E163,I163,M163,Q163,U163)-C163</f>
        <v>116.6</v>
      </c>
      <c r="AB163" s="221"/>
    </row>
    <row r="164" spans="1:28" s="38" customFormat="1" ht="39" customHeight="1">
      <c r="A164" s="217" t="s">
        <v>226</v>
      </c>
      <c r="B164" s="218"/>
      <c r="C164" s="149">
        <f>SUM(C165:C167)</f>
        <v>94</v>
      </c>
      <c r="D164" s="62">
        <f>SUM(D165:D167)</f>
        <v>493</v>
      </c>
      <c r="E164" s="45">
        <f>SUM(E165:E167)</f>
        <v>587</v>
      </c>
      <c r="F164" s="45">
        <f>E160</f>
        <v>573</v>
      </c>
      <c r="G164" s="42" t="str">
        <f>A160</f>
        <v>AKAT 2</v>
      </c>
      <c r="H164" s="62">
        <f>SUM(H165:H167)</f>
        <v>502</v>
      </c>
      <c r="I164" s="45">
        <f>SUM(I165:I167)</f>
        <v>596</v>
      </c>
      <c r="J164" s="45">
        <f>I156</f>
        <v>497</v>
      </c>
      <c r="K164" s="42" t="str">
        <f>A156</f>
        <v>RT EHITUS</v>
      </c>
      <c r="L164" s="133">
        <f>SUM(L165:L167)</f>
        <v>412</v>
      </c>
      <c r="M164" s="49">
        <f>SUM(M165:M167)</f>
        <v>506</v>
      </c>
      <c r="N164" s="45">
        <f>M152</f>
        <v>526</v>
      </c>
      <c r="O164" s="42" t="str">
        <f>A152</f>
        <v>Raktoom</v>
      </c>
      <c r="P164" s="45">
        <f>SUM(P165:P167)</f>
        <v>400</v>
      </c>
      <c r="Q164" s="49">
        <f>SUM(Q165:Q167)</f>
        <v>494</v>
      </c>
      <c r="R164" s="45">
        <f>Q168</f>
        <v>558</v>
      </c>
      <c r="S164" s="42" t="str">
        <f>A168</f>
        <v>STIK</v>
      </c>
      <c r="T164" s="133">
        <f>SUM(T165:T167)</f>
        <v>440</v>
      </c>
      <c r="U164" s="49">
        <f>SUM(U165:U167)</f>
        <v>534</v>
      </c>
      <c r="V164" s="45">
        <f>U172</f>
        <v>456</v>
      </c>
      <c r="W164" s="42" t="str">
        <f>A172</f>
        <v>Toode</v>
      </c>
      <c r="X164" s="36">
        <f t="shared" si="5"/>
        <v>2717</v>
      </c>
      <c r="Y164" s="105">
        <f>SUM(Y165:Y167)</f>
        <v>2247</v>
      </c>
      <c r="Z164" s="65">
        <f>AVERAGE(Z165,Z166,Z167)</f>
        <v>181.13333333333333</v>
      </c>
      <c r="AA164" s="142">
        <f>AVERAGE(AA165,AA166,AA167)</f>
        <v>149.79999999999998</v>
      </c>
      <c r="AB164" s="219">
        <f>F165+J165+N165+R165+V165</f>
        <v>3</v>
      </c>
    </row>
    <row r="165" spans="1:28" s="38" customFormat="1" ht="15.75" customHeight="1">
      <c r="A165" s="222" t="s">
        <v>206</v>
      </c>
      <c r="B165" s="223"/>
      <c r="C165" s="150">
        <v>30</v>
      </c>
      <c r="D165" s="59">
        <v>189</v>
      </c>
      <c r="E165" s="50">
        <f>C165+D165</f>
        <v>219</v>
      </c>
      <c r="F165" s="224">
        <v>1</v>
      </c>
      <c r="G165" s="225"/>
      <c r="H165" s="97">
        <v>140</v>
      </c>
      <c r="I165" s="46">
        <f>H165+C165</f>
        <v>170</v>
      </c>
      <c r="J165" s="224">
        <v>1</v>
      </c>
      <c r="K165" s="225"/>
      <c r="L165" s="97">
        <v>139</v>
      </c>
      <c r="M165" s="50">
        <f>L165+C165</f>
        <v>169</v>
      </c>
      <c r="N165" s="224">
        <v>0</v>
      </c>
      <c r="O165" s="225"/>
      <c r="P165" s="97">
        <v>167</v>
      </c>
      <c r="Q165" s="50">
        <f>P165+C165</f>
        <v>197</v>
      </c>
      <c r="R165" s="224">
        <v>0</v>
      </c>
      <c r="S165" s="225"/>
      <c r="T165" s="97">
        <v>145</v>
      </c>
      <c r="U165" s="50">
        <f>T165+C165</f>
        <v>175</v>
      </c>
      <c r="V165" s="224">
        <v>1</v>
      </c>
      <c r="W165" s="225"/>
      <c r="X165" s="46">
        <f t="shared" si="5"/>
        <v>930</v>
      </c>
      <c r="Y165" s="106">
        <f>D165+H165+L165+P165+T165</f>
        <v>780</v>
      </c>
      <c r="Z165" s="67">
        <f>AVERAGE(E165,I165,M165,Q165,U165)</f>
        <v>186</v>
      </c>
      <c r="AA165" s="143">
        <f>AVERAGE(E165,I165,M165,Q165,U165)-C165</f>
        <v>156</v>
      </c>
      <c r="AB165" s="220"/>
    </row>
    <row r="166" spans="1:28" s="38" customFormat="1" ht="15.75" customHeight="1">
      <c r="A166" s="222" t="s">
        <v>306</v>
      </c>
      <c r="B166" s="223"/>
      <c r="C166" s="150">
        <v>24</v>
      </c>
      <c r="D166" s="59">
        <v>178</v>
      </c>
      <c r="E166" s="50">
        <f>C166+D166</f>
        <v>202</v>
      </c>
      <c r="F166" s="226"/>
      <c r="G166" s="227"/>
      <c r="H166" s="98">
        <v>146</v>
      </c>
      <c r="I166" s="46">
        <f>H166+C166</f>
        <v>170</v>
      </c>
      <c r="J166" s="226"/>
      <c r="K166" s="227"/>
      <c r="L166" s="98">
        <v>162</v>
      </c>
      <c r="M166" s="50">
        <f>L166+C166</f>
        <v>186</v>
      </c>
      <c r="N166" s="226"/>
      <c r="O166" s="227"/>
      <c r="P166" s="98">
        <v>113</v>
      </c>
      <c r="Q166" s="50">
        <f>P166+C166</f>
        <v>137</v>
      </c>
      <c r="R166" s="226"/>
      <c r="S166" s="227"/>
      <c r="T166" s="98">
        <v>148</v>
      </c>
      <c r="U166" s="50">
        <f>T166+C166</f>
        <v>172</v>
      </c>
      <c r="V166" s="226"/>
      <c r="W166" s="227"/>
      <c r="X166" s="46">
        <f t="shared" si="5"/>
        <v>867</v>
      </c>
      <c r="Y166" s="106">
        <f>D166+H166+L166+P166+T166</f>
        <v>747</v>
      </c>
      <c r="Z166" s="67">
        <f>AVERAGE(E166,I166,M166,Q166,U166)</f>
        <v>173.4</v>
      </c>
      <c r="AA166" s="143">
        <f>AVERAGE(E166,I166,M166,Q166,U166)-C166</f>
        <v>149.4</v>
      </c>
      <c r="AB166" s="220"/>
    </row>
    <row r="167" spans="1:29" s="38" customFormat="1" ht="15.75" customHeight="1" thickBot="1">
      <c r="A167" s="229" t="s">
        <v>290</v>
      </c>
      <c r="B167" s="230"/>
      <c r="C167" s="151">
        <v>40</v>
      </c>
      <c r="D167" s="60">
        <v>126</v>
      </c>
      <c r="E167" s="50">
        <f>C167+D167</f>
        <v>166</v>
      </c>
      <c r="F167" s="204"/>
      <c r="G167" s="228"/>
      <c r="H167" s="99">
        <v>216</v>
      </c>
      <c r="I167" s="46">
        <f>H167+C167</f>
        <v>256</v>
      </c>
      <c r="J167" s="204"/>
      <c r="K167" s="228"/>
      <c r="L167" s="99">
        <v>111</v>
      </c>
      <c r="M167" s="50">
        <f>L167+C167</f>
        <v>151</v>
      </c>
      <c r="N167" s="204"/>
      <c r="O167" s="228"/>
      <c r="P167" s="99">
        <v>120</v>
      </c>
      <c r="Q167" s="50">
        <f>P167+C167</f>
        <v>160</v>
      </c>
      <c r="R167" s="204"/>
      <c r="S167" s="228"/>
      <c r="T167" s="99">
        <v>147</v>
      </c>
      <c r="U167" s="50">
        <f>T167+C167</f>
        <v>187</v>
      </c>
      <c r="V167" s="204"/>
      <c r="W167" s="228"/>
      <c r="X167" s="47">
        <f t="shared" si="5"/>
        <v>920</v>
      </c>
      <c r="Y167" s="107">
        <f>D167+H167+L167+P167+T167</f>
        <v>720</v>
      </c>
      <c r="Z167" s="68">
        <f>AVERAGE(E167,I167,M167,Q167,U167)</f>
        <v>184</v>
      </c>
      <c r="AA167" s="144">
        <f>AVERAGE(E167,I167,M167,Q167,U167)-C167</f>
        <v>144</v>
      </c>
      <c r="AB167" s="221"/>
      <c r="AC167" s="44"/>
    </row>
    <row r="168" spans="1:28" s="38" customFormat="1" ht="53.25" customHeight="1">
      <c r="A168" s="217" t="s">
        <v>171</v>
      </c>
      <c r="B168" s="218"/>
      <c r="C168" s="149">
        <f>SUM(C169:C171)</f>
        <v>161</v>
      </c>
      <c r="D168" s="62">
        <f>SUM(D169:D171)</f>
        <v>389</v>
      </c>
      <c r="E168" s="45">
        <f>SUM(E169:E171)</f>
        <v>550</v>
      </c>
      <c r="F168" s="45">
        <f>E156</f>
        <v>523</v>
      </c>
      <c r="G168" s="42" t="str">
        <f>A156</f>
        <v>RT EHITUS</v>
      </c>
      <c r="H168" s="62">
        <f>SUM(H169:H171)</f>
        <v>370</v>
      </c>
      <c r="I168" s="45">
        <f>SUM(I169:I171)</f>
        <v>531</v>
      </c>
      <c r="J168" s="45">
        <f>I152</f>
        <v>571</v>
      </c>
      <c r="K168" s="42" t="str">
        <f>A152</f>
        <v>Raktoom</v>
      </c>
      <c r="L168" s="133">
        <f>SUM(L169:L171)</f>
        <v>321</v>
      </c>
      <c r="M168" s="69">
        <f>SUM(M169:M171)</f>
        <v>482</v>
      </c>
      <c r="N168" s="45">
        <f>M172</f>
        <v>523</v>
      </c>
      <c r="O168" s="42" t="str">
        <f>A172</f>
        <v>Toode</v>
      </c>
      <c r="P168" s="45">
        <f>SUM(P169:P171)</f>
        <v>397</v>
      </c>
      <c r="Q168" s="69">
        <f>SUM(Q169:Q171)</f>
        <v>558</v>
      </c>
      <c r="R168" s="45">
        <f>Q164</f>
        <v>494</v>
      </c>
      <c r="S168" s="42" t="str">
        <f>A164</f>
        <v>Näpi Saeveski</v>
      </c>
      <c r="T168" s="133">
        <f>SUM(T169:T171)</f>
        <v>405</v>
      </c>
      <c r="U168" s="69">
        <f>SUM(U169:U171)</f>
        <v>566</v>
      </c>
      <c r="V168" s="45">
        <f>U160</f>
        <v>525</v>
      </c>
      <c r="W168" s="42" t="str">
        <f>A160</f>
        <v>AKAT 2</v>
      </c>
      <c r="X168" s="36">
        <f t="shared" si="5"/>
        <v>2687</v>
      </c>
      <c r="Y168" s="105">
        <f>SUM(Y169:Y171)</f>
        <v>1882</v>
      </c>
      <c r="Z168" s="65">
        <f>AVERAGE(Z169,Z170,Z171)</f>
        <v>179.13333333333333</v>
      </c>
      <c r="AA168" s="142">
        <f>AVERAGE(AA169,AA170,AA171)</f>
        <v>125.46666666666665</v>
      </c>
      <c r="AB168" s="219">
        <f>F169+J169+N169+R169+V169</f>
        <v>3</v>
      </c>
    </row>
    <row r="169" spans="1:28" s="38" customFormat="1" ht="15.75" customHeight="1">
      <c r="A169" s="222" t="s">
        <v>182</v>
      </c>
      <c r="B169" s="223"/>
      <c r="C169" s="150">
        <v>41</v>
      </c>
      <c r="D169" s="59">
        <v>131</v>
      </c>
      <c r="E169" s="50">
        <f>C169+D169</f>
        <v>172</v>
      </c>
      <c r="F169" s="224">
        <v>1</v>
      </c>
      <c r="G169" s="225"/>
      <c r="H169" s="97">
        <v>129</v>
      </c>
      <c r="I169" s="46">
        <f>H169+C169</f>
        <v>170</v>
      </c>
      <c r="J169" s="224">
        <v>0</v>
      </c>
      <c r="K169" s="225"/>
      <c r="L169" s="97">
        <v>119</v>
      </c>
      <c r="M169" s="50">
        <f>L169+C169</f>
        <v>160</v>
      </c>
      <c r="N169" s="224">
        <v>0</v>
      </c>
      <c r="O169" s="225"/>
      <c r="P169" s="97">
        <v>134</v>
      </c>
      <c r="Q169" s="50">
        <f>P169+C169</f>
        <v>175</v>
      </c>
      <c r="R169" s="224">
        <v>1</v>
      </c>
      <c r="S169" s="225"/>
      <c r="T169" s="97">
        <v>140</v>
      </c>
      <c r="U169" s="50">
        <f>T169+C169</f>
        <v>181</v>
      </c>
      <c r="V169" s="224">
        <v>1</v>
      </c>
      <c r="W169" s="225"/>
      <c r="X169" s="46">
        <f t="shared" si="5"/>
        <v>858</v>
      </c>
      <c r="Y169" s="106">
        <f>D169+H169+L169+P169+T169</f>
        <v>653</v>
      </c>
      <c r="Z169" s="67">
        <f>AVERAGE(E169,I169,M169,Q169,U169)</f>
        <v>171.6</v>
      </c>
      <c r="AA169" s="143">
        <f>AVERAGE(E169,I169,M169,Q169,U169)-C169</f>
        <v>130.6</v>
      </c>
      <c r="AB169" s="220"/>
    </row>
    <row r="170" spans="1:28" s="38" customFormat="1" ht="15.75" customHeight="1">
      <c r="A170" s="222" t="s">
        <v>322</v>
      </c>
      <c r="B170" s="223"/>
      <c r="C170" s="150">
        <v>60</v>
      </c>
      <c r="D170" s="59">
        <v>145</v>
      </c>
      <c r="E170" s="50">
        <f>C170+D170</f>
        <v>205</v>
      </c>
      <c r="F170" s="226"/>
      <c r="G170" s="227"/>
      <c r="H170" s="98">
        <v>102</v>
      </c>
      <c r="I170" s="46">
        <f>H170+C170</f>
        <v>162</v>
      </c>
      <c r="J170" s="226"/>
      <c r="K170" s="227"/>
      <c r="L170" s="98">
        <v>104</v>
      </c>
      <c r="M170" s="50">
        <f>L170+C170</f>
        <v>164</v>
      </c>
      <c r="N170" s="226"/>
      <c r="O170" s="227"/>
      <c r="P170" s="98">
        <v>136</v>
      </c>
      <c r="Q170" s="50">
        <f>P170+C170</f>
        <v>196</v>
      </c>
      <c r="R170" s="226"/>
      <c r="S170" s="227"/>
      <c r="T170" s="98">
        <v>135</v>
      </c>
      <c r="U170" s="50">
        <f>T170+C170</f>
        <v>195</v>
      </c>
      <c r="V170" s="226"/>
      <c r="W170" s="227"/>
      <c r="X170" s="46">
        <f t="shared" si="5"/>
        <v>922</v>
      </c>
      <c r="Y170" s="106">
        <f>D170+H170+L170+P170+T170</f>
        <v>622</v>
      </c>
      <c r="Z170" s="67">
        <f>AVERAGE(E170,I170,M170,Q170,U170)</f>
        <v>184.4</v>
      </c>
      <c r="AA170" s="143">
        <f>AVERAGE(E170,I170,M170,Q170,U170)-C170</f>
        <v>124.4</v>
      </c>
      <c r="AB170" s="220"/>
    </row>
    <row r="171" spans="1:28" s="38" customFormat="1" ht="15.75" customHeight="1" thickBot="1">
      <c r="A171" s="229" t="s">
        <v>184</v>
      </c>
      <c r="B171" s="230"/>
      <c r="C171" s="151">
        <v>60</v>
      </c>
      <c r="D171" s="60">
        <v>113</v>
      </c>
      <c r="E171" s="50">
        <f>C171+D171</f>
        <v>173</v>
      </c>
      <c r="F171" s="204"/>
      <c r="G171" s="228"/>
      <c r="H171" s="99">
        <v>139</v>
      </c>
      <c r="I171" s="46">
        <f>H171+C171</f>
        <v>199</v>
      </c>
      <c r="J171" s="204"/>
      <c r="K171" s="228"/>
      <c r="L171" s="99">
        <v>98</v>
      </c>
      <c r="M171" s="50">
        <f>L171+C171</f>
        <v>158</v>
      </c>
      <c r="N171" s="204"/>
      <c r="O171" s="228"/>
      <c r="P171" s="99">
        <v>127</v>
      </c>
      <c r="Q171" s="50">
        <f>P171+C171</f>
        <v>187</v>
      </c>
      <c r="R171" s="204"/>
      <c r="S171" s="228"/>
      <c r="T171" s="99">
        <v>130</v>
      </c>
      <c r="U171" s="50">
        <f>T171+C171</f>
        <v>190</v>
      </c>
      <c r="V171" s="204"/>
      <c r="W171" s="228"/>
      <c r="X171" s="47">
        <f t="shared" si="5"/>
        <v>907</v>
      </c>
      <c r="Y171" s="107">
        <f>D171+H171+L171+P171+T171</f>
        <v>607</v>
      </c>
      <c r="Z171" s="68">
        <f>AVERAGE(E171,I171,M171,Q171,U171)</f>
        <v>181.4</v>
      </c>
      <c r="AA171" s="144">
        <f>AVERAGE(E171,I171,M171,Q171,U171)-C171</f>
        <v>121.4</v>
      </c>
      <c r="AB171" s="221"/>
    </row>
    <row r="172" spans="1:28" s="38" customFormat="1" ht="42" customHeight="1">
      <c r="A172" s="217" t="s">
        <v>195</v>
      </c>
      <c r="B172" s="218"/>
      <c r="C172" s="149">
        <f>SUM(C173:C175)</f>
        <v>138</v>
      </c>
      <c r="D172" s="62">
        <f>SUM(D173:D175)</f>
        <v>388</v>
      </c>
      <c r="E172" s="45">
        <f>SUM(E173:E175)</f>
        <v>526</v>
      </c>
      <c r="F172" s="45">
        <f>E152</f>
        <v>541</v>
      </c>
      <c r="G172" s="42" t="str">
        <f>A152</f>
        <v>Raktoom</v>
      </c>
      <c r="H172" s="62">
        <f>SUM(H173:H175)</f>
        <v>345</v>
      </c>
      <c r="I172" s="45">
        <f>SUM(I173:I175)</f>
        <v>483</v>
      </c>
      <c r="J172" s="45">
        <f>I160</f>
        <v>508</v>
      </c>
      <c r="K172" s="42" t="str">
        <f>A160</f>
        <v>AKAT 2</v>
      </c>
      <c r="L172" s="133">
        <f>SUM(L173:L175)</f>
        <v>385</v>
      </c>
      <c r="M172" s="49">
        <f>SUM(M173:M175)</f>
        <v>523</v>
      </c>
      <c r="N172" s="45">
        <f>M168</f>
        <v>482</v>
      </c>
      <c r="O172" s="42" t="str">
        <f>A168</f>
        <v>STIK</v>
      </c>
      <c r="P172" s="45">
        <f>SUM(P173:P175)</f>
        <v>425</v>
      </c>
      <c r="Q172" s="49">
        <f>SUM(Q173:Q175)</f>
        <v>563</v>
      </c>
      <c r="R172" s="45">
        <f>Q156</f>
        <v>515</v>
      </c>
      <c r="S172" s="42" t="str">
        <f>A156</f>
        <v>RT EHITUS</v>
      </c>
      <c r="T172" s="133">
        <f>SUM(T173:T175)</f>
        <v>318</v>
      </c>
      <c r="U172" s="49">
        <f>SUM(U173:U175)</f>
        <v>456</v>
      </c>
      <c r="V172" s="45">
        <f>U164</f>
        <v>534</v>
      </c>
      <c r="W172" s="42" t="str">
        <f>A164</f>
        <v>Näpi Saeveski</v>
      </c>
      <c r="X172" s="36">
        <f t="shared" si="5"/>
        <v>2551</v>
      </c>
      <c r="Y172" s="105">
        <f>SUM(Y173:Y175)</f>
        <v>1861</v>
      </c>
      <c r="Z172" s="65">
        <f>AVERAGE(Z173,Z174,Z175)</f>
        <v>170.06666666666666</v>
      </c>
      <c r="AA172" s="142">
        <f>AVERAGE(AA173,AA174,AA175)</f>
        <v>124.06666666666668</v>
      </c>
      <c r="AB172" s="219">
        <f>F173+J173+N173+R173+V173</f>
        <v>2</v>
      </c>
    </row>
    <row r="173" spans="1:28" s="38" customFormat="1" ht="15.75" customHeight="1">
      <c r="A173" s="222" t="s">
        <v>179</v>
      </c>
      <c r="B173" s="223"/>
      <c r="C173" s="150">
        <v>42</v>
      </c>
      <c r="D173" s="59">
        <v>137</v>
      </c>
      <c r="E173" s="50">
        <f>C173+D173</f>
        <v>179</v>
      </c>
      <c r="F173" s="224">
        <v>0</v>
      </c>
      <c r="G173" s="225"/>
      <c r="H173" s="97">
        <v>134</v>
      </c>
      <c r="I173" s="46">
        <f>H173+C173</f>
        <v>176</v>
      </c>
      <c r="J173" s="224">
        <v>0</v>
      </c>
      <c r="K173" s="225"/>
      <c r="L173" s="97">
        <v>100</v>
      </c>
      <c r="M173" s="50">
        <f>L173+C173</f>
        <v>142</v>
      </c>
      <c r="N173" s="224">
        <v>1</v>
      </c>
      <c r="O173" s="225"/>
      <c r="P173" s="97">
        <v>168</v>
      </c>
      <c r="Q173" s="50">
        <f>P173+C173</f>
        <v>210</v>
      </c>
      <c r="R173" s="224">
        <v>1</v>
      </c>
      <c r="S173" s="225"/>
      <c r="T173" s="97">
        <v>108</v>
      </c>
      <c r="U173" s="50">
        <f>T173+C173</f>
        <v>150</v>
      </c>
      <c r="V173" s="224">
        <v>0</v>
      </c>
      <c r="W173" s="225"/>
      <c r="X173" s="46">
        <f t="shared" si="5"/>
        <v>857</v>
      </c>
      <c r="Y173" s="106">
        <f>D173+H173+L173+P173+T173</f>
        <v>647</v>
      </c>
      <c r="Z173" s="67">
        <f>AVERAGE(E173,I173,M173,Q173,U173)</f>
        <v>171.4</v>
      </c>
      <c r="AA173" s="143">
        <f>AVERAGE(E173,I173,M173,Q173,U173)-C173</f>
        <v>129.4</v>
      </c>
      <c r="AB173" s="220"/>
    </row>
    <row r="174" spans="1:28" s="38" customFormat="1" ht="15" customHeight="1">
      <c r="A174" s="222" t="s">
        <v>320</v>
      </c>
      <c r="B174" s="223"/>
      <c r="C174" s="150">
        <v>60</v>
      </c>
      <c r="D174" s="59">
        <v>96</v>
      </c>
      <c r="E174" s="50">
        <f>C174+D174</f>
        <v>156</v>
      </c>
      <c r="F174" s="226"/>
      <c r="G174" s="227"/>
      <c r="H174" s="98">
        <v>81</v>
      </c>
      <c r="I174" s="46">
        <f>H174+C174</f>
        <v>141</v>
      </c>
      <c r="J174" s="226"/>
      <c r="K174" s="227"/>
      <c r="L174" s="98">
        <v>148</v>
      </c>
      <c r="M174" s="50">
        <f>L174+C174</f>
        <v>208</v>
      </c>
      <c r="N174" s="226"/>
      <c r="O174" s="227"/>
      <c r="P174" s="98">
        <v>102</v>
      </c>
      <c r="Q174" s="50">
        <f>P174+C174</f>
        <v>162</v>
      </c>
      <c r="R174" s="226"/>
      <c r="S174" s="227"/>
      <c r="T174" s="98">
        <v>98</v>
      </c>
      <c r="U174" s="50">
        <f>T174+C174</f>
        <v>158</v>
      </c>
      <c r="V174" s="226"/>
      <c r="W174" s="227"/>
      <c r="X174" s="46">
        <f t="shared" si="5"/>
        <v>825</v>
      </c>
      <c r="Y174" s="106">
        <f>D174+H174+L174+P174+T174</f>
        <v>525</v>
      </c>
      <c r="Z174" s="67">
        <f>AVERAGE(E174,I174,M174,Q174,U174)</f>
        <v>165</v>
      </c>
      <c r="AA174" s="143">
        <f>AVERAGE(E174,I174,M174,Q174,U174)-C174</f>
        <v>105</v>
      </c>
      <c r="AB174" s="220"/>
    </row>
    <row r="175" spans="1:28" s="38" customFormat="1" ht="15" customHeight="1" thickBot="1">
      <c r="A175" s="229" t="s">
        <v>181</v>
      </c>
      <c r="B175" s="230"/>
      <c r="C175" s="151">
        <v>36</v>
      </c>
      <c r="D175" s="60">
        <v>155</v>
      </c>
      <c r="E175" s="50">
        <f>C175+D175</f>
        <v>191</v>
      </c>
      <c r="F175" s="204"/>
      <c r="G175" s="228"/>
      <c r="H175" s="99">
        <v>130</v>
      </c>
      <c r="I175" s="46">
        <f>H175+C175</f>
        <v>166</v>
      </c>
      <c r="J175" s="204"/>
      <c r="K175" s="228"/>
      <c r="L175" s="99">
        <v>137</v>
      </c>
      <c r="M175" s="50">
        <f>L175+C175</f>
        <v>173</v>
      </c>
      <c r="N175" s="204"/>
      <c r="O175" s="228"/>
      <c r="P175" s="99">
        <v>155</v>
      </c>
      <c r="Q175" s="50">
        <f>P175+C175</f>
        <v>191</v>
      </c>
      <c r="R175" s="204"/>
      <c r="S175" s="228"/>
      <c r="T175" s="99">
        <v>112</v>
      </c>
      <c r="U175" s="50">
        <f>T175+C175</f>
        <v>148</v>
      </c>
      <c r="V175" s="204"/>
      <c r="W175" s="228"/>
      <c r="X175" s="47">
        <f t="shared" si="5"/>
        <v>869</v>
      </c>
      <c r="Y175" s="107">
        <f>D175+H175+L175+P175+T175</f>
        <v>689</v>
      </c>
      <c r="Z175" s="68">
        <f>AVERAGE(E175,I175,M175,Q175,U175)</f>
        <v>173.8</v>
      </c>
      <c r="AA175" s="144">
        <f>AVERAGE(E175,I175,M175,Q175,U175)-C175</f>
        <v>137.8</v>
      </c>
      <c r="AB175" s="221"/>
    </row>
    <row r="176" spans="1:28" s="40" customFormat="1" ht="10.5" customHeight="1">
      <c r="A176" s="207" t="s">
        <v>350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4"/>
      <c r="W176" s="25"/>
      <c r="Y176" s="57"/>
      <c r="Z176" s="41"/>
      <c r="AA176" s="139"/>
      <c r="AB176" s="25"/>
    </row>
    <row r="177" spans="1:28" s="40" customFormat="1" ht="15.75" customHeight="1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4"/>
      <c r="W177" s="25"/>
      <c r="Y177" s="57"/>
      <c r="Z177" s="41"/>
      <c r="AA177" s="139"/>
      <c r="AB177" s="25"/>
    </row>
    <row r="178" spans="1:28" s="40" customFormat="1" ht="23.25" customHeight="1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5"/>
      <c r="W178" s="25"/>
      <c r="Y178" s="57"/>
      <c r="Z178" s="41"/>
      <c r="AA178" s="139"/>
      <c r="AB178" s="25"/>
    </row>
    <row r="179" spans="1:28" s="31" customFormat="1" ht="15.75" customHeight="1">
      <c r="A179" s="209" t="s">
        <v>0</v>
      </c>
      <c r="B179" s="210"/>
      <c r="C179" s="147" t="s">
        <v>39</v>
      </c>
      <c r="D179" s="55"/>
      <c r="E179" s="27" t="s">
        <v>1</v>
      </c>
      <c r="F179" s="211" t="s">
        <v>2</v>
      </c>
      <c r="G179" s="212"/>
      <c r="H179" s="94"/>
      <c r="I179" s="27" t="s">
        <v>3</v>
      </c>
      <c r="J179" s="211" t="s">
        <v>2</v>
      </c>
      <c r="K179" s="212"/>
      <c r="L179" s="94"/>
      <c r="M179" s="27" t="s">
        <v>4</v>
      </c>
      <c r="N179" s="211" t="s">
        <v>2</v>
      </c>
      <c r="O179" s="212"/>
      <c r="P179" s="94"/>
      <c r="Q179" s="27" t="s">
        <v>5</v>
      </c>
      <c r="R179" s="211" t="s">
        <v>2</v>
      </c>
      <c r="S179" s="212"/>
      <c r="T179" s="94"/>
      <c r="U179" s="27" t="s">
        <v>6</v>
      </c>
      <c r="V179" s="211" t="s">
        <v>2</v>
      </c>
      <c r="W179" s="212"/>
      <c r="X179" s="28" t="s">
        <v>7</v>
      </c>
      <c r="Y179" s="104"/>
      <c r="Z179" s="29" t="s">
        <v>40</v>
      </c>
      <c r="AA179" s="140" t="s">
        <v>42</v>
      </c>
      <c r="AB179" s="30" t="s">
        <v>7</v>
      </c>
    </row>
    <row r="180" spans="1:28" s="31" customFormat="1" ht="15.75" customHeight="1" thickBot="1">
      <c r="A180" s="213" t="s">
        <v>9</v>
      </c>
      <c r="B180" s="214"/>
      <c r="C180" s="148"/>
      <c r="D180" s="56"/>
      <c r="E180" s="32" t="s">
        <v>10</v>
      </c>
      <c r="F180" s="211" t="s">
        <v>11</v>
      </c>
      <c r="G180" s="212"/>
      <c r="H180" s="95"/>
      <c r="I180" s="32" t="s">
        <v>10</v>
      </c>
      <c r="J180" s="215" t="s">
        <v>11</v>
      </c>
      <c r="K180" s="216"/>
      <c r="L180" s="95"/>
      <c r="M180" s="32" t="s">
        <v>10</v>
      </c>
      <c r="N180" s="215" t="s">
        <v>11</v>
      </c>
      <c r="O180" s="216"/>
      <c r="P180" s="95"/>
      <c r="Q180" s="32" t="s">
        <v>10</v>
      </c>
      <c r="R180" s="215" t="s">
        <v>11</v>
      </c>
      <c r="S180" s="216"/>
      <c r="T180" s="95"/>
      <c r="U180" s="32" t="s">
        <v>10</v>
      </c>
      <c r="V180" s="215" t="s">
        <v>11</v>
      </c>
      <c r="W180" s="216"/>
      <c r="X180" s="33" t="s">
        <v>10</v>
      </c>
      <c r="Y180" s="134" t="s">
        <v>287</v>
      </c>
      <c r="Z180" s="34" t="s">
        <v>41</v>
      </c>
      <c r="AA180" s="141" t="s">
        <v>43</v>
      </c>
      <c r="AB180" s="35" t="s">
        <v>12</v>
      </c>
    </row>
    <row r="181" spans="1:28" s="38" customFormat="1" ht="42" customHeight="1">
      <c r="A181" s="217" t="s">
        <v>67</v>
      </c>
      <c r="B181" s="218"/>
      <c r="C181" s="149">
        <f>SUM(C182:C184)</f>
        <v>138</v>
      </c>
      <c r="D181" s="62">
        <f>SUM(D182:D184)</f>
        <v>432</v>
      </c>
      <c r="E181" s="63">
        <f>SUM(E182:E184)</f>
        <v>570</v>
      </c>
      <c r="F181" s="46">
        <f>E201</f>
        <v>463</v>
      </c>
      <c r="G181" s="64" t="str">
        <f>A201</f>
        <v>Nordic Tsement</v>
      </c>
      <c r="H181" s="62">
        <f>SUM(H182:H184)</f>
        <v>413</v>
      </c>
      <c r="I181" s="49">
        <f>SUM(I182:I184)</f>
        <v>551</v>
      </c>
      <c r="J181" s="49">
        <f>I197</f>
        <v>531</v>
      </c>
      <c r="K181" s="42" t="str">
        <f>A197</f>
        <v>Wiru Ehitus</v>
      </c>
      <c r="L181" s="58">
        <f>SUM(L182:L184)</f>
        <v>464</v>
      </c>
      <c r="M181" s="45">
        <f>SUM(M182:M184)</f>
        <v>602</v>
      </c>
      <c r="N181" s="45">
        <f>M193</f>
        <v>553</v>
      </c>
      <c r="O181" s="42" t="str">
        <f>A193</f>
        <v>Assar Lukuauk</v>
      </c>
      <c r="P181" s="45">
        <f>SUM(P182:P184)</f>
        <v>355</v>
      </c>
      <c r="Q181" s="45">
        <f>SUM(Q182:Q184)</f>
        <v>493</v>
      </c>
      <c r="R181" s="45">
        <f>Q189</f>
        <v>569</v>
      </c>
      <c r="S181" s="42" t="str">
        <f>A189</f>
        <v>Eesti Energia</v>
      </c>
      <c r="T181" s="133">
        <f>SUM(T182:T184)</f>
        <v>395</v>
      </c>
      <c r="U181" s="45">
        <f>SUM(U182:U184)</f>
        <v>533</v>
      </c>
      <c r="V181" s="45">
        <f>U185</f>
        <v>423</v>
      </c>
      <c r="W181" s="42" t="str">
        <f>A185</f>
        <v>Tapa Linna-valitsus</v>
      </c>
      <c r="X181" s="36">
        <f aca="true" t="shared" si="6" ref="X181:X204">E181+I181+M181+Q181+U181</f>
        <v>2749</v>
      </c>
      <c r="Y181" s="105">
        <f>SUM(Y182:Y184)</f>
        <v>2059</v>
      </c>
      <c r="Z181" s="37">
        <f>AVERAGE(Z182,Z183,Z184)</f>
        <v>183.26666666666665</v>
      </c>
      <c r="AA181" s="142">
        <f>AVERAGE(AA182,AA183,AA184)</f>
        <v>137.26666666666665</v>
      </c>
      <c r="AB181" s="219">
        <f>F182+J182+N182+R182+V182</f>
        <v>4</v>
      </c>
    </row>
    <row r="182" spans="1:28" s="38" customFormat="1" ht="15.75" customHeight="1">
      <c r="A182" s="222" t="s">
        <v>44</v>
      </c>
      <c r="B182" s="223"/>
      <c r="C182" s="150">
        <v>48</v>
      </c>
      <c r="D182" s="59">
        <v>106</v>
      </c>
      <c r="E182" s="50">
        <f>D182+C182</f>
        <v>154</v>
      </c>
      <c r="F182" s="224">
        <v>1</v>
      </c>
      <c r="G182" s="225"/>
      <c r="H182" s="97">
        <v>138</v>
      </c>
      <c r="I182" s="46">
        <f>H182+C182</f>
        <v>186</v>
      </c>
      <c r="J182" s="224">
        <v>1</v>
      </c>
      <c r="K182" s="225"/>
      <c r="L182" s="97">
        <v>157</v>
      </c>
      <c r="M182" s="50">
        <f>L182+C182</f>
        <v>205</v>
      </c>
      <c r="N182" s="224">
        <v>1</v>
      </c>
      <c r="O182" s="225"/>
      <c r="P182" s="97">
        <v>107</v>
      </c>
      <c r="Q182" s="50">
        <f>P182+C182</f>
        <v>155</v>
      </c>
      <c r="R182" s="224">
        <v>0</v>
      </c>
      <c r="S182" s="225"/>
      <c r="T182" s="97">
        <v>144</v>
      </c>
      <c r="U182" s="50">
        <f>T182+C182</f>
        <v>192</v>
      </c>
      <c r="V182" s="224">
        <v>1</v>
      </c>
      <c r="W182" s="225"/>
      <c r="X182" s="46">
        <f t="shared" si="6"/>
        <v>892</v>
      </c>
      <c r="Y182" s="106">
        <f>D182+H182+L182+P182+T182</f>
        <v>652</v>
      </c>
      <c r="Z182" s="67">
        <f>AVERAGE(E182,I182,M182,Q182,U182)</f>
        <v>178.4</v>
      </c>
      <c r="AA182" s="143">
        <f>AVERAGE(E182,I182,M182,Q182,U182)-C182</f>
        <v>130.4</v>
      </c>
      <c r="AB182" s="220"/>
    </row>
    <row r="183" spans="1:28" s="38" customFormat="1" ht="15.75" customHeight="1">
      <c r="A183" s="222" t="s">
        <v>343</v>
      </c>
      <c r="B183" s="223"/>
      <c r="C183" s="150">
        <v>60</v>
      </c>
      <c r="D183" s="59">
        <v>162</v>
      </c>
      <c r="E183" s="50">
        <f>D183+C183</f>
        <v>222</v>
      </c>
      <c r="F183" s="226"/>
      <c r="G183" s="227"/>
      <c r="H183" s="98">
        <v>112</v>
      </c>
      <c r="I183" s="46">
        <f>H183+C183</f>
        <v>172</v>
      </c>
      <c r="J183" s="226"/>
      <c r="K183" s="227"/>
      <c r="L183" s="98">
        <v>153</v>
      </c>
      <c r="M183" s="50">
        <f>L183+C183</f>
        <v>213</v>
      </c>
      <c r="N183" s="226"/>
      <c r="O183" s="227"/>
      <c r="P183" s="98">
        <v>102</v>
      </c>
      <c r="Q183" s="50">
        <f>P183+C183</f>
        <v>162</v>
      </c>
      <c r="R183" s="226"/>
      <c r="S183" s="227"/>
      <c r="T183" s="98">
        <v>126</v>
      </c>
      <c r="U183" s="50">
        <f>T183+C183</f>
        <v>186</v>
      </c>
      <c r="V183" s="226"/>
      <c r="W183" s="227"/>
      <c r="X183" s="46">
        <f t="shared" si="6"/>
        <v>955</v>
      </c>
      <c r="Y183" s="106">
        <f>D183+H183+L183+P183+T183</f>
        <v>655</v>
      </c>
      <c r="Z183" s="67">
        <f>AVERAGE(E183,I183,M183,Q183,U183)</f>
        <v>191</v>
      </c>
      <c r="AA183" s="143">
        <f>AVERAGE(E183,I183,M183,Q183,U183)-C183</f>
        <v>131</v>
      </c>
      <c r="AB183" s="220"/>
    </row>
    <row r="184" spans="1:28" s="38" customFormat="1" ht="16.5" customHeight="1" thickBot="1">
      <c r="A184" s="229" t="s">
        <v>46</v>
      </c>
      <c r="B184" s="230"/>
      <c r="C184" s="151">
        <v>30</v>
      </c>
      <c r="D184" s="60">
        <v>164</v>
      </c>
      <c r="E184" s="50">
        <f>D184+C184</f>
        <v>194</v>
      </c>
      <c r="F184" s="204"/>
      <c r="G184" s="228"/>
      <c r="H184" s="99">
        <v>163</v>
      </c>
      <c r="I184" s="46">
        <f>H184+C184</f>
        <v>193</v>
      </c>
      <c r="J184" s="204"/>
      <c r="K184" s="228"/>
      <c r="L184" s="99">
        <v>154</v>
      </c>
      <c r="M184" s="50">
        <f>L184+C184</f>
        <v>184</v>
      </c>
      <c r="N184" s="204"/>
      <c r="O184" s="228"/>
      <c r="P184" s="99">
        <v>146</v>
      </c>
      <c r="Q184" s="50">
        <f>P184+C184</f>
        <v>176</v>
      </c>
      <c r="R184" s="204"/>
      <c r="S184" s="228"/>
      <c r="T184" s="99">
        <v>125</v>
      </c>
      <c r="U184" s="50">
        <f>T184+C184</f>
        <v>155</v>
      </c>
      <c r="V184" s="204"/>
      <c r="W184" s="228"/>
      <c r="X184" s="47">
        <f t="shared" si="6"/>
        <v>902</v>
      </c>
      <c r="Y184" s="107">
        <f>D184+H184+L184+P184+T184</f>
        <v>752</v>
      </c>
      <c r="Z184" s="68">
        <f>AVERAGE(E184,I184,M184,Q184,U184)</f>
        <v>180.4</v>
      </c>
      <c r="AA184" s="144">
        <f>AVERAGE(E184,I184,M184,Q184,U184)-C184</f>
        <v>150.4</v>
      </c>
      <c r="AB184" s="221"/>
    </row>
    <row r="185" spans="1:28" s="38" customFormat="1" ht="41.25" customHeight="1">
      <c r="A185" s="217" t="s">
        <v>316</v>
      </c>
      <c r="B185" s="218"/>
      <c r="C185" s="149">
        <f>SUM(C186:C188)</f>
        <v>170</v>
      </c>
      <c r="D185" s="62">
        <f>SUM(D186:D188)</f>
        <v>287</v>
      </c>
      <c r="E185" s="45">
        <f>SUM(E186:E188)</f>
        <v>457</v>
      </c>
      <c r="F185" s="45">
        <f>E197</f>
        <v>474</v>
      </c>
      <c r="G185" s="42" t="str">
        <f>A197</f>
        <v>Wiru Ehitus</v>
      </c>
      <c r="H185" s="62">
        <f>SUM(H186:H188)</f>
        <v>301</v>
      </c>
      <c r="I185" s="45">
        <f>SUM(I186:I188)</f>
        <v>471</v>
      </c>
      <c r="J185" s="45">
        <f>I193</f>
        <v>526</v>
      </c>
      <c r="K185" s="42" t="str">
        <f>A193</f>
        <v>Assar Lukuauk</v>
      </c>
      <c r="L185" s="133">
        <f>SUM(L186:L188)</f>
        <v>352</v>
      </c>
      <c r="M185" s="49">
        <f>SUM(M186:M188)</f>
        <v>522</v>
      </c>
      <c r="N185" s="45">
        <f>M189</f>
        <v>502</v>
      </c>
      <c r="O185" s="42" t="str">
        <f>A189</f>
        <v>Eesti Energia</v>
      </c>
      <c r="P185" s="45">
        <f>SUM(P186:P188)</f>
        <v>266</v>
      </c>
      <c r="Q185" s="49">
        <f>SUM(Q186:Q188)</f>
        <v>436</v>
      </c>
      <c r="R185" s="45">
        <f>Q201</f>
        <v>538</v>
      </c>
      <c r="S185" s="42" t="str">
        <f>A201</f>
        <v>Nordic Tsement</v>
      </c>
      <c r="T185" s="133">
        <f>SUM(T186:T188)</f>
        <v>253</v>
      </c>
      <c r="U185" s="49">
        <f>SUM(U186:U188)</f>
        <v>423</v>
      </c>
      <c r="V185" s="45">
        <f>U181</f>
        <v>533</v>
      </c>
      <c r="W185" s="42" t="str">
        <f>A181</f>
        <v>Vest-Wood 2</v>
      </c>
      <c r="X185" s="36">
        <f t="shared" si="6"/>
        <v>2309</v>
      </c>
      <c r="Y185" s="105">
        <f>SUM(Y186:Y188)</f>
        <v>1459</v>
      </c>
      <c r="Z185" s="65">
        <f>AVERAGE(Z186,Z187,Z188)</f>
        <v>153.93333333333334</v>
      </c>
      <c r="AA185" s="142">
        <f>AVERAGE(AA186,AA187,AA188)</f>
        <v>97.26666666666667</v>
      </c>
      <c r="AB185" s="219">
        <f>F186+J186+N186+R186+V186</f>
        <v>1</v>
      </c>
    </row>
    <row r="186" spans="1:28" s="38" customFormat="1" ht="15.75" customHeight="1">
      <c r="A186" s="222" t="s">
        <v>123</v>
      </c>
      <c r="B186" s="223"/>
      <c r="C186" s="150">
        <v>55</v>
      </c>
      <c r="D186" s="59">
        <v>116</v>
      </c>
      <c r="E186" s="50">
        <f>D186+C186</f>
        <v>171</v>
      </c>
      <c r="F186" s="224">
        <v>0</v>
      </c>
      <c r="G186" s="225"/>
      <c r="H186" s="97">
        <v>124</v>
      </c>
      <c r="I186" s="46">
        <f>H186+C186</f>
        <v>179</v>
      </c>
      <c r="J186" s="224">
        <v>0</v>
      </c>
      <c r="K186" s="225"/>
      <c r="L186" s="97">
        <v>153</v>
      </c>
      <c r="M186" s="50">
        <f>L186+C186</f>
        <v>208</v>
      </c>
      <c r="N186" s="224">
        <v>1</v>
      </c>
      <c r="O186" s="225"/>
      <c r="P186" s="97">
        <v>116</v>
      </c>
      <c r="Q186" s="50">
        <f>P186+C186</f>
        <v>171</v>
      </c>
      <c r="R186" s="224">
        <v>0</v>
      </c>
      <c r="S186" s="225"/>
      <c r="T186" s="97">
        <v>120</v>
      </c>
      <c r="U186" s="50">
        <f>T186+C186</f>
        <v>175</v>
      </c>
      <c r="V186" s="224">
        <v>0</v>
      </c>
      <c r="W186" s="225"/>
      <c r="X186" s="46">
        <f t="shared" si="6"/>
        <v>904</v>
      </c>
      <c r="Y186" s="106">
        <f>D186+H186+L186+P186+T186</f>
        <v>629</v>
      </c>
      <c r="Z186" s="67">
        <f>AVERAGE(E186,I186,M186,Q186,U186)</f>
        <v>180.8</v>
      </c>
      <c r="AA186" s="143">
        <f>AVERAGE(E186,I186,M186,Q186,U186)-C186</f>
        <v>125.80000000000001</v>
      </c>
      <c r="AB186" s="220"/>
    </row>
    <row r="187" spans="1:28" s="38" customFormat="1" ht="15.75" customHeight="1">
      <c r="A187" s="222" t="s">
        <v>315</v>
      </c>
      <c r="B187" s="223"/>
      <c r="C187" s="150">
        <v>60</v>
      </c>
      <c r="D187" s="59">
        <v>103</v>
      </c>
      <c r="E187" s="50">
        <f>D187+C187</f>
        <v>163</v>
      </c>
      <c r="F187" s="226"/>
      <c r="G187" s="227"/>
      <c r="H187" s="98">
        <v>107</v>
      </c>
      <c r="I187" s="46">
        <f>H187+C187</f>
        <v>167</v>
      </c>
      <c r="J187" s="226"/>
      <c r="K187" s="227"/>
      <c r="L187" s="98">
        <v>105</v>
      </c>
      <c r="M187" s="50">
        <f>L187+C187</f>
        <v>165</v>
      </c>
      <c r="N187" s="226"/>
      <c r="O187" s="227"/>
      <c r="P187" s="98">
        <v>77</v>
      </c>
      <c r="Q187" s="50">
        <f>P187+C187</f>
        <v>137</v>
      </c>
      <c r="R187" s="226"/>
      <c r="S187" s="227"/>
      <c r="T187" s="98">
        <v>83</v>
      </c>
      <c r="U187" s="50">
        <f>T187+C187</f>
        <v>143</v>
      </c>
      <c r="V187" s="226"/>
      <c r="W187" s="227"/>
      <c r="X187" s="46">
        <f t="shared" si="6"/>
        <v>775</v>
      </c>
      <c r="Y187" s="106">
        <f>D187+H187+L187+P187+T187</f>
        <v>475</v>
      </c>
      <c r="Z187" s="67">
        <f>AVERAGE(E187,I187,M187,Q187,U187)</f>
        <v>155</v>
      </c>
      <c r="AA187" s="143">
        <f>AVERAGE(E187,I187,M187,Q187,U187)-C187</f>
        <v>95</v>
      </c>
      <c r="AB187" s="220"/>
    </row>
    <row r="188" spans="1:28" s="38" customFormat="1" ht="15.75" customHeight="1" thickBot="1">
      <c r="A188" s="229" t="s">
        <v>125</v>
      </c>
      <c r="B188" s="230"/>
      <c r="C188" s="151">
        <v>55</v>
      </c>
      <c r="D188" s="60">
        <v>68</v>
      </c>
      <c r="E188" s="50">
        <f>D188+C188</f>
        <v>123</v>
      </c>
      <c r="F188" s="204"/>
      <c r="G188" s="228"/>
      <c r="H188" s="99">
        <v>70</v>
      </c>
      <c r="I188" s="46">
        <f>H188+C188</f>
        <v>125</v>
      </c>
      <c r="J188" s="204"/>
      <c r="K188" s="228"/>
      <c r="L188" s="99">
        <v>94</v>
      </c>
      <c r="M188" s="50">
        <f>L188+C188</f>
        <v>149</v>
      </c>
      <c r="N188" s="204"/>
      <c r="O188" s="228"/>
      <c r="P188" s="99">
        <v>73</v>
      </c>
      <c r="Q188" s="50">
        <f>P188+C188</f>
        <v>128</v>
      </c>
      <c r="R188" s="204"/>
      <c r="S188" s="228"/>
      <c r="T188" s="99">
        <v>50</v>
      </c>
      <c r="U188" s="50">
        <f>T188+C188</f>
        <v>105</v>
      </c>
      <c r="V188" s="204"/>
      <c r="W188" s="228"/>
      <c r="X188" s="47">
        <f t="shared" si="6"/>
        <v>630</v>
      </c>
      <c r="Y188" s="107">
        <f>D188+H188+L188+P188+T188</f>
        <v>355</v>
      </c>
      <c r="Z188" s="68">
        <f>AVERAGE(E188,I188,M188,Q188,U188)</f>
        <v>126</v>
      </c>
      <c r="AA188" s="144">
        <f>AVERAGE(E188,I188,M188,Q188,U188)-C188</f>
        <v>71</v>
      </c>
      <c r="AB188" s="221"/>
    </row>
    <row r="189" spans="1:28" s="38" customFormat="1" ht="47.25" customHeight="1">
      <c r="A189" s="217" t="s">
        <v>164</v>
      </c>
      <c r="B189" s="218"/>
      <c r="C189" s="149">
        <f>SUM(C190:C192)</f>
        <v>145</v>
      </c>
      <c r="D189" s="62">
        <f>SUM(D190:D192)</f>
        <v>352</v>
      </c>
      <c r="E189" s="45">
        <f>SUM(E190:E192)</f>
        <v>497</v>
      </c>
      <c r="F189" s="45">
        <f>E193</f>
        <v>519</v>
      </c>
      <c r="G189" s="42" t="str">
        <f>A193</f>
        <v>Assar Lukuauk</v>
      </c>
      <c r="H189" s="62">
        <f>SUM(H190:H192)</f>
        <v>399</v>
      </c>
      <c r="I189" s="45">
        <f>SUM(I190:I192)</f>
        <v>544</v>
      </c>
      <c r="J189" s="45">
        <f>I201</f>
        <v>515</v>
      </c>
      <c r="K189" s="42" t="str">
        <f>A201</f>
        <v>Nordic Tsement</v>
      </c>
      <c r="L189" s="133">
        <f>SUM(L190:L192)</f>
        <v>357</v>
      </c>
      <c r="M189" s="69">
        <f>SUM(M190:M192)</f>
        <v>502</v>
      </c>
      <c r="N189" s="45">
        <f>M185</f>
        <v>522</v>
      </c>
      <c r="O189" s="42" t="str">
        <f>A185</f>
        <v>Tapa Linna-valitsus</v>
      </c>
      <c r="P189" s="45">
        <f>SUM(P190:P192)</f>
        <v>424</v>
      </c>
      <c r="Q189" s="49">
        <f>SUM(Q190:Q192)</f>
        <v>569</v>
      </c>
      <c r="R189" s="45">
        <f>Q181</f>
        <v>493</v>
      </c>
      <c r="S189" s="42" t="str">
        <f>A181</f>
        <v>Vest-Wood 2</v>
      </c>
      <c r="T189" s="133">
        <f>SUM(T190:T192)</f>
        <v>345</v>
      </c>
      <c r="U189" s="69">
        <f>SUM(U190:U192)</f>
        <v>490</v>
      </c>
      <c r="V189" s="45">
        <f>U197</f>
        <v>505</v>
      </c>
      <c r="W189" s="42" t="str">
        <f>A197</f>
        <v>Wiru Ehitus</v>
      </c>
      <c r="X189" s="36">
        <f t="shared" si="6"/>
        <v>2602</v>
      </c>
      <c r="Y189" s="105">
        <f>SUM(Y190:Y192)</f>
        <v>1877</v>
      </c>
      <c r="Z189" s="65">
        <f>AVERAGE(Z190,Z191,Z192)</f>
        <v>173.4666666666667</v>
      </c>
      <c r="AA189" s="142">
        <f>AVERAGE(AA190,AA191,AA192)</f>
        <v>125.13333333333333</v>
      </c>
      <c r="AB189" s="219">
        <f>F190+J190+N190+R190+V190</f>
        <v>2</v>
      </c>
    </row>
    <row r="190" spans="1:28" s="38" customFormat="1" ht="15.75" customHeight="1">
      <c r="A190" s="222" t="s">
        <v>261</v>
      </c>
      <c r="B190" s="223"/>
      <c r="C190" s="150">
        <v>49</v>
      </c>
      <c r="D190" s="59">
        <v>80</v>
      </c>
      <c r="E190" s="50">
        <f>D190+C190</f>
        <v>129</v>
      </c>
      <c r="F190" s="224">
        <v>0</v>
      </c>
      <c r="G190" s="225"/>
      <c r="H190" s="97">
        <v>134</v>
      </c>
      <c r="I190" s="46">
        <f>H190+C190</f>
        <v>183</v>
      </c>
      <c r="J190" s="224">
        <v>1</v>
      </c>
      <c r="K190" s="225"/>
      <c r="L190" s="97">
        <v>90</v>
      </c>
      <c r="M190" s="50">
        <f>L190+C190</f>
        <v>139</v>
      </c>
      <c r="N190" s="224">
        <v>0</v>
      </c>
      <c r="O190" s="225"/>
      <c r="P190" s="97">
        <v>131</v>
      </c>
      <c r="Q190" s="50">
        <f>P190+C190</f>
        <v>180</v>
      </c>
      <c r="R190" s="224">
        <v>1</v>
      </c>
      <c r="S190" s="225"/>
      <c r="T190" s="97">
        <v>98</v>
      </c>
      <c r="U190" s="50">
        <f>T190+C190</f>
        <v>147</v>
      </c>
      <c r="V190" s="224">
        <v>0</v>
      </c>
      <c r="W190" s="225"/>
      <c r="X190" s="46">
        <f t="shared" si="6"/>
        <v>778</v>
      </c>
      <c r="Y190" s="106">
        <f>D190+H190+L190+P190+T190</f>
        <v>533</v>
      </c>
      <c r="Z190" s="67">
        <f>AVERAGE(E190,I190,M190,Q190,U190)</f>
        <v>155.6</v>
      </c>
      <c r="AA190" s="143">
        <f>AVERAGE(E190,I190,M190,Q190,U190)-C190</f>
        <v>106.6</v>
      </c>
      <c r="AB190" s="220"/>
    </row>
    <row r="191" spans="1:28" s="38" customFormat="1" ht="15.75" customHeight="1">
      <c r="A191" s="222" t="s">
        <v>150</v>
      </c>
      <c r="B191" s="223"/>
      <c r="C191" s="150">
        <v>60</v>
      </c>
      <c r="D191" s="59">
        <v>108</v>
      </c>
      <c r="E191" s="50">
        <f>D191+C191</f>
        <v>168</v>
      </c>
      <c r="F191" s="226"/>
      <c r="G191" s="227"/>
      <c r="H191" s="98">
        <v>124</v>
      </c>
      <c r="I191" s="46">
        <f>H191+C191</f>
        <v>184</v>
      </c>
      <c r="J191" s="226"/>
      <c r="K191" s="227"/>
      <c r="L191" s="98">
        <v>108</v>
      </c>
      <c r="M191" s="50">
        <f>L191+C191</f>
        <v>168</v>
      </c>
      <c r="N191" s="226"/>
      <c r="O191" s="227"/>
      <c r="P191" s="98">
        <v>111</v>
      </c>
      <c r="Q191" s="50">
        <f>P191+C191</f>
        <v>171</v>
      </c>
      <c r="R191" s="226"/>
      <c r="S191" s="227"/>
      <c r="T191" s="98">
        <v>94</v>
      </c>
      <c r="U191" s="50">
        <f>T191+C191</f>
        <v>154</v>
      </c>
      <c r="V191" s="226"/>
      <c r="W191" s="227"/>
      <c r="X191" s="46">
        <f t="shared" si="6"/>
        <v>845</v>
      </c>
      <c r="Y191" s="106">
        <f>D191+H191+L191+P191+T191</f>
        <v>545</v>
      </c>
      <c r="Z191" s="67">
        <f>AVERAGE(E191,I191,M191,Q191,U191)</f>
        <v>169</v>
      </c>
      <c r="AA191" s="143">
        <f>AVERAGE(E191,I191,M191,Q191,U191)-C191</f>
        <v>109</v>
      </c>
      <c r="AB191" s="220"/>
    </row>
    <row r="192" spans="1:28" s="38" customFormat="1" ht="15.75" customHeight="1" thickBot="1">
      <c r="A192" s="229" t="s">
        <v>151</v>
      </c>
      <c r="B192" s="230"/>
      <c r="C192" s="151">
        <v>36</v>
      </c>
      <c r="D192" s="60">
        <v>164</v>
      </c>
      <c r="E192" s="50">
        <f>D192+C192</f>
        <v>200</v>
      </c>
      <c r="F192" s="204"/>
      <c r="G192" s="228"/>
      <c r="H192" s="99">
        <v>141</v>
      </c>
      <c r="I192" s="46">
        <f>H192+C192</f>
        <v>177</v>
      </c>
      <c r="J192" s="204"/>
      <c r="K192" s="228"/>
      <c r="L192" s="99">
        <v>159</v>
      </c>
      <c r="M192" s="50">
        <f>L192+C192</f>
        <v>195</v>
      </c>
      <c r="N192" s="204"/>
      <c r="O192" s="228"/>
      <c r="P192" s="99">
        <v>182</v>
      </c>
      <c r="Q192" s="50">
        <f>P192+C192</f>
        <v>218</v>
      </c>
      <c r="R192" s="204"/>
      <c r="S192" s="228"/>
      <c r="T192" s="99">
        <v>153</v>
      </c>
      <c r="U192" s="50">
        <f>T192+C192</f>
        <v>189</v>
      </c>
      <c r="V192" s="204"/>
      <c r="W192" s="228"/>
      <c r="X192" s="47">
        <f t="shared" si="6"/>
        <v>979</v>
      </c>
      <c r="Y192" s="107">
        <f>D192+H192+L192+P192+T192</f>
        <v>799</v>
      </c>
      <c r="Z192" s="68">
        <f>AVERAGE(E192,I192,M192,Q192,U192)</f>
        <v>195.8</v>
      </c>
      <c r="AA192" s="144">
        <f>AVERAGE(E192,I192,M192,Q192,U192)-C192</f>
        <v>159.8</v>
      </c>
      <c r="AB192" s="221"/>
    </row>
    <row r="193" spans="1:28" s="38" customFormat="1" ht="39" customHeight="1">
      <c r="A193" s="217" t="s">
        <v>224</v>
      </c>
      <c r="B193" s="218"/>
      <c r="C193" s="149">
        <f>SUM(C194:C196)</f>
        <v>88</v>
      </c>
      <c r="D193" s="62">
        <f>SUM(D194:D196)</f>
        <v>431</v>
      </c>
      <c r="E193" s="45">
        <f>SUM(E194:E196)</f>
        <v>519</v>
      </c>
      <c r="F193" s="45">
        <f>E189</f>
        <v>497</v>
      </c>
      <c r="G193" s="42" t="str">
        <f>A189</f>
        <v>Eesti Energia</v>
      </c>
      <c r="H193" s="62">
        <f>SUM(H194:H196)</f>
        <v>438</v>
      </c>
      <c r="I193" s="45">
        <f>SUM(I194:I196)</f>
        <v>526</v>
      </c>
      <c r="J193" s="45">
        <f>I185</f>
        <v>471</v>
      </c>
      <c r="K193" s="42" t="str">
        <f>A185</f>
        <v>Tapa Linna-valitsus</v>
      </c>
      <c r="L193" s="133">
        <f>SUM(L194:L196)</f>
        <v>465</v>
      </c>
      <c r="M193" s="49">
        <f>SUM(M194:M196)</f>
        <v>553</v>
      </c>
      <c r="N193" s="45">
        <f>M181</f>
        <v>602</v>
      </c>
      <c r="O193" s="42" t="str">
        <f>A181</f>
        <v>Vest-Wood 2</v>
      </c>
      <c r="P193" s="45">
        <f>SUM(P194:P196)</f>
        <v>415</v>
      </c>
      <c r="Q193" s="49">
        <f>SUM(Q194:Q196)</f>
        <v>503</v>
      </c>
      <c r="R193" s="45">
        <f>Q197</f>
        <v>486</v>
      </c>
      <c r="S193" s="42" t="str">
        <f>A197</f>
        <v>Wiru Ehitus</v>
      </c>
      <c r="T193" s="133">
        <f>SUM(T194:T196)</f>
        <v>483</v>
      </c>
      <c r="U193" s="49">
        <f>SUM(U194:U196)</f>
        <v>571</v>
      </c>
      <c r="V193" s="45">
        <f>U201</f>
        <v>500</v>
      </c>
      <c r="W193" s="42" t="str">
        <f>A201</f>
        <v>Nordic Tsement</v>
      </c>
      <c r="X193" s="36">
        <f t="shared" si="6"/>
        <v>2672</v>
      </c>
      <c r="Y193" s="105">
        <f>SUM(Y194:Y196)</f>
        <v>2232</v>
      </c>
      <c r="Z193" s="65">
        <f>AVERAGE(Z194,Z195,Z196)</f>
        <v>178.13333333333333</v>
      </c>
      <c r="AA193" s="142">
        <f>AVERAGE(AA194,AA195,AA196)</f>
        <v>148.79999999999998</v>
      </c>
      <c r="AB193" s="219">
        <f>F194+J194+N194+R194+V194</f>
        <v>4</v>
      </c>
    </row>
    <row r="194" spans="1:28" s="38" customFormat="1" ht="15.75" customHeight="1">
      <c r="A194" s="222" t="s">
        <v>218</v>
      </c>
      <c r="B194" s="223"/>
      <c r="C194" s="150">
        <v>14</v>
      </c>
      <c r="D194" s="59">
        <v>162</v>
      </c>
      <c r="E194" s="50">
        <f>D194+C194</f>
        <v>176</v>
      </c>
      <c r="F194" s="224">
        <v>1</v>
      </c>
      <c r="G194" s="225"/>
      <c r="H194" s="97">
        <v>174</v>
      </c>
      <c r="I194" s="46">
        <f>H194+C194</f>
        <v>188</v>
      </c>
      <c r="J194" s="224">
        <v>1</v>
      </c>
      <c r="K194" s="225"/>
      <c r="L194" s="97">
        <v>148</v>
      </c>
      <c r="M194" s="50">
        <f>L194+C194</f>
        <v>162</v>
      </c>
      <c r="N194" s="224">
        <v>0</v>
      </c>
      <c r="O194" s="225"/>
      <c r="P194" s="97">
        <v>140</v>
      </c>
      <c r="Q194" s="50">
        <f>P194+C194</f>
        <v>154</v>
      </c>
      <c r="R194" s="224">
        <v>1</v>
      </c>
      <c r="S194" s="225"/>
      <c r="T194" s="97">
        <v>187</v>
      </c>
      <c r="U194" s="50">
        <f>T194+C194</f>
        <v>201</v>
      </c>
      <c r="V194" s="224">
        <v>1</v>
      </c>
      <c r="W194" s="225"/>
      <c r="X194" s="46">
        <f t="shared" si="6"/>
        <v>881</v>
      </c>
      <c r="Y194" s="106">
        <f>D194+H194+L194+P194+T194</f>
        <v>811</v>
      </c>
      <c r="Z194" s="67">
        <f>AVERAGE(E194,I194,M194,Q194,U194)</f>
        <v>176.2</v>
      </c>
      <c r="AA194" s="143">
        <f>AVERAGE(E194,I194,M194,Q194,U194)-C194</f>
        <v>162.2</v>
      </c>
      <c r="AB194" s="220"/>
    </row>
    <row r="195" spans="1:28" s="38" customFormat="1" ht="15.75" customHeight="1">
      <c r="A195" s="222" t="s">
        <v>219</v>
      </c>
      <c r="B195" s="223"/>
      <c r="C195" s="150">
        <v>34</v>
      </c>
      <c r="D195" s="59">
        <v>133</v>
      </c>
      <c r="E195" s="50">
        <f>D195+C195</f>
        <v>167</v>
      </c>
      <c r="F195" s="226"/>
      <c r="G195" s="227"/>
      <c r="H195" s="98">
        <v>136</v>
      </c>
      <c r="I195" s="46">
        <f>H195+C195</f>
        <v>170</v>
      </c>
      <c r="J195" s="226"/>
      <c r="K195" s="227"/>
      <c r="L195" s="98">
        <v>158</v>
      </c>
      <c r="M195" s="50">
        <f>L195+C195</f>
        <v>192</v>
      </c>
      <c r="N195" s="226"/>
      <c r="O195" s="227"/>
      <c r="P195" s="98">
        <v>135</v>
      </c>
      <c r="Q195" s="50">
        <f>P195+C195</f>
        <v>169</v>
      </c>
      <c r="R195" s="226"/>
      <c r="S195" s="227"/>
      <c r="T195" s="98">
        <v>174</v>
      </c>
      <c r="U195" s="50">
        <f>T195+C195</f>
        <v>208</v>
      </c>
      <c r="V195" s="226"/>
      <c r="W195" s="227"/>
      <c r="X195" s="46">
        <f t="shared" si="6"/>
        <v>906</v>
      </c>
      <c r="Y195" s="106">
        <f>D195+H195+L195+P195+T195</f>
        <v>736</v>
      </c>
      <c r="Z195" s="67">
        <f>AVERAGE(E195,I195,M195,Q195,U195)</f>
        <v>181.2</v>
      </c>
      <c r="AA195" s="143">
        <f>AVERAGE(E195,I195,M195,Q195,U195)-C195</f>
        <v>147.2</v>
      </c>
      <c r="AB195" s="220"/>
    </row>
    <row r="196" spans="1:29" s="38" customFormat="1" ht="15.75" customHeight="1" thickBot="1">
      <c r="A196" s="229" t="s">
        <v>220</v>
      </c>
      <c r="B196" s="230"/>
      <c r="C196" s="151">
        <v>40</v>
      </c>
      <c r="D196" s="60">
        <v>136</v>
      </c>
      <c r="E196" s="50">
        <f>D196+C196</f>
        <v>176</v>
      </c>
      <c r="F196" s="204"/>
      <c r="G196" s="228"/>
      <c r="H196" s="99">
        <v>128</v>
      </c>
      <c r="I196" s="46">
        <f>H196+C196</f>
        <v>168</v>
      </c>
      <c r="J196" s="204"/>
      <c r="K196" s="228"/>
      <c r="L196" s="99">
        <v>159</v>
      </c>
      <c r="M196" s="50">
        <f>L196+C196</f>
        <v>199</v>
      </c>
      <c r="N196" s="204"/>
      <c r="O196" s="228"/>
      <c r="P196" s="99">
        <v>140</v>
      </c>
      <c r="Q196" s="50">
        <f>P196+C196</f>
        <v>180</v>
      </c>
      <c r="R196" s="204"/>
      <c r="S196" s="228"/>
      <c r="T196" s="99">
        <v>122</v>
      </c>
      <c r="U196" s="50">
        <f>T196+C196</f>
        <v>162</v>
      </c>
      <c r="V196" s="204"/>
      <c r="W196" s="228"/>
      <c r="X196" s="47">
        <f t="shared" si="6"/>
        <v>885</v>
      </c>
      <c r="Y196" s="107">
        <f>D196+H196+L196+P196+T196</f>
        <v>685</v>
      </c>
      <c r="Z196" s="68">
        <f>AVERAGE(E196,I196,M196,Q196,U196)</f>
        <v>177</v>
      </c>
      <c r="AA196" s="144">
        <f>AVERAGE(E196,I196,M196,Q196,U196)-C196</f>
        <v>137</v>
      </c>
      <c r="AB196" s="221"/>
      <c r="AC196" s="44"/>
    </row>
    <row r="197" spans="1:28" s="38" customFormat="1" ht="53.25" customHeight="1">
      <c r="A197" s="217" t="s">
        <v>237</v>
      </c>
      <c r="B197" s="218"/>
      <c r="C197" s="149">
        <f>SUM(C198:C200)</f>
        <v>156</v>
      </c>
      <c r="D197" s="62">
        <f>SUM(D198:D200)</f>
        <v>318</v>
      </c>
      <c r="E197" s="45">
        <f>SUM(E198:E200)</f>
        <v>474</v>
      </c>
      <c r="F197" s="45">
        <f>E185</f>
        <v>457</v>
      </c>
      <c r="G197" s="42" t="str">
        <f>A185</f>
        <v>Tapa Linna-valitsus</v>
      </c>
      <c r="H197" s="62">
        <f>SUM(H198:H200)</f>
        <v>375</v>
      </c>
      <c r="I197" s="45">
        <f>SUM(I198:I200)</f>
        <v>531</v>
      </c>
      <c r="J197" s="45">
        <f>I181</f>
        <v>551</v>
      </c>
      <c r="K197" s="42" t="str">
        <f>A181</f>
        <v>Vest-Wood 2</v>
      </c>
      <c r="L197" s="133">
        <f>SUM(L198:L200)</f>
        <v>344</v>
      </c>
      <c r="M197" s="69">
        <f>SUM(M198:M200)</f>
        <v>500</v>
      </c>
      <c r="N197" s="45">
        <f>M201</f>
        <v>538</v>
      </c>
      <c r="O197" s="42" t="str">
        <f>A201</f>
        <v>Nordic Tsement</v>
      </c>
      <c r="P197" s="45">
        <f>SUM(P198:P200)</f>
        <v>330</v>
      </c>
      <c r="Q197" s="69">
        <f>SUM(Q198:Q200)</f>
        <v>486</v>
      </c>
      <c r="R197" s="45">
        <f>Q193</f>
        <v>503</v>
      </c>
      <c r="S197" s="42" t="str">
        <f>A193</f>
        <v>Assar Lukuauk</v>
      </c>
      <c r="T197" s="133">
        <f>SUM(T198:T200)</f>
        <v>349</v>
      </c>
      <c r="U197" s="69">
        <f>SUM(U198:U200)</f>
        <v>505</v>
      </c>
      <c r="V197" s="45">
        <f>U189</f>
        <v>490</v>
      </c>
      <c r="W197" s="42" t="str">
        <f>A189</f>
        <v>Eesti Energia</v>
      </c>
      <c r="X197" s="36">
        <f t="shared" si="6"/>
        <v>2496</v>
      </c>
      <c r="Y197" s="105">
        <f>SUM(Y198:Y200)</f>
        <v>1716</v>
      </c>
      <c r="Z197" s="65">
        <f>AVERAGE(Z198,Z199,Z200)</f>
        <v>166.4</v>
      </c>
      <c r="AA197" s="142">
        <f>AVERAGE(AA198,AA199,AA200)</f>
        <v>114.40000000000002</v>
      </c>
      <c r="AB197" s="219">
        <f>F198+J198+N198+R198+V198</f>
        <v>2</v>
      </c>
    </row>
    <row r="198" spans="1:28" s="38" customFormat="1" ht="15.75" customHeight="1">
      <c r="A198" s="222" t="s">
        <v>240</v>
      </c>
      <c r="B198" s="223"/>
      <c r="C198" s="150">
        <v>60</v>
      </c>
      <c r="D198" s="59">
        <v>94</v>
      </c>
      <c r="E198" s="50">
        <f>D198+C198</f>
        <v>154</v>
      </c>
      <c r="F198" s="224">
        <v>1</v>
      </c>
      <c r="G198" s="225"/>
      <c r="H198" s="97">
        <v>111</v>
      </c>
      <c r="I198" s="46">
        <f>H198+C198</f>
        <v>171</v>
      </c>
      <c r="J198" s="224">
        <v>0</v>
      </c>
      <c r="K198" s="225"/>
      <c r="L198" s="97">
        <v>95</v>
      </c>
      <c r="M198" s="50">
        <f>L198+C198</f>
        <v>155</v>
      </c>
      <c r="N198" s="224">
        <v>0</v>
      </c>
      <c r="O198" s="225"/>
      <c r="P198" s="97">
        <v>87</v>
      </c>
      <c r="Q198" s="50">
        <f>P198+C198</f>
        <v>147</v>
      </c>
      <c r="R198" s="224">
        <v>0</v>
      </c>
      <c r="S198" s="225"/>
      <c r="T198" s="97">
        <v>85</v>
      </c>
      <c r="U198" s="50">
        <f>T198+C198</f>
        <v>145</v>
      </c>
      <c r="V198" s="224">
        <v>1</v>
      </c>
      <c r="W198" s="225"/>
      <c r="X198" s="46">
        <f t="shared" si="6"/>
        <v>772</v>
      </c>
      <c r="Y198" s="106">
        <f>D198+H198+L198+P198+T198</f>
        <v>472</v>
      </c>
      <c r="Z198" s="67">
        <f>AVERAGE(E198,I198,M198,Q198,U198)</f>
        <v>154.4</v>
      </c>
      <c r="AA198" s="143">
        <f>AVERAGE(E198,I198,M198,Q198,U198)-C198</f>
        <v>94.4</v>
      </c>
      <c r="AB198" s="220"/>
    </row>
    <row r="199" spans="1:28" s="38" customFormat="1" ht="15.75" customHeight="1">
      <c r="A199" s="222" t="s">
        <v>238</v>
      </c>
      <c r="B199" s="223"/>
      <c r="C199" s="150">
        <v>52</v>
      </c>
      <c r="D199" s="59">
        <v>126</v>
      </c>
      <c r="E199" s="50">
        <f>D199+C199</f>
        <v>178</v>
      </c>
      <c r="F199" s="226"/>
      <c r="G199" s="227"/>
      <c r="H199" s="98">
        <v>128</v>
      </c>
      <c r="I199" s="46">
        <f>H199+C199</f>
        <v>180</v>
      </c>
      <c r="J199" s="226"/>
      <c r="K199" s="227"/>
      <c r="L199" s="98">
        <v>111</v>
      </c>
      <c r="M199" s="50">
        <f>L199+C199</f>
        <v>163</v>
      </c>
      <c r="N199" s="226"/>
      <c r="O199" s="227"/>
      <c r="P199" s="98">
        <v>133</v>
      </c>
      <c r="Q199" s="50">
        <f>P199+C199</f>
        <v>185</v>
      </c>
      <c r="R199" s="226"/>
      <c r="S199" s="227"/>
      <c r="T199" s="98">
        <v>122</v>
      </c>
      <c r="U199" s="50">
        <f>T199+C199</f>
        <v>174</v>
      </c>
      <c r="V199" s="226"/>
      <c r="W199" s="227"/>
      <c r="X199" s="46">
        <f t="shared" si="6"/>
        <v>880</v>
      </c>
      <c r="Y199" s="106">
        <f>D199+H199+L199+P199+T199</f>
        <v>620</v>
      </c>
      <c r="Z199" s="67">
        <f>AVERAGE(E199,I199,M199,Q199,U199)</f>
        <v>176</v>
      </c>
      <c r="AA199" s="143">
        <f>AVERAGE(E199,I199,M199,Q199,U199)-C199</f>
        <v>124</v>
      </c>
      <c r="AB199" s="220"/>
    </row>
    <row r="200" spans="1:28" s="38" customFormat="1" ht="15.75" customHeight="1" thickBot="1">
      <c r="A200" s="229" t="s">
        <v>319</v>
      </c>
      <c r="B200" s="230"/>
      <c r="C200" s="151">
        <v>44</v>
      </c>
      <c r="D200" s="60">
        <v>98</v>
      </c>
      <c r="E200" s="50">
        <f>D200+C200</f>
        <v>142</v>
      </c>
      <c r="F200" s="204"/>
      <c r="G200" s="228"/>
      <c r="H200" s="99">
        <v>136</v>
      </c>
      <c r="I200" s="46">
        <f>H200+C200</f>
        <v>180</v>
      </c>
      <c r="J200" s="204"/>
      <c r="K200" s="228"/>
      <c r="L200" s="99">
        <v>138</v>
      </c>
      <c r="M200" s="50">
        <f>L200+C200</f>
        <v>182</v>
      </c>
      <c r="N200" s="204"/>
      <c r="O200" s="228"/>
      <c r="P200" s="99">
        <v>110</v>
      </c>
      <c r="Q200" s="50">
        <f>P200+C200</f>
        <v>154</v>
      </c>
      <c r="R200" s="204"/>
      <c r="S200" s="228"/>
      <c r="T200" s="99">
        <v>142</v>
      </c>
      <c r="U200" s="50">
        <f>T200+C200</f>
        <v>186</v>
      </c>
      <c r="V200" s="204"/>
      <c r="W200" s="228"/>
      <c r="X200" s="47">
        <f t="shared" si="6"/>
        <v>844</v>
      </c>
      <c r="Y200" s="107">
        <f>D200+H200+L200+P200+T200</f>
        <v>624</v>
      </c>
      <c r="Z200" s="68">
        <f>AVERAGE(E200,I200,M200,Q200,U200)</f>
        <v>168.8</v>
      </c>
      <c r="AA200" s="144">
        <f>AVERAGE(E200,I200,M200,Q200,U200)-C200</f>
        <v>124.80000000000001</v>
      </c>
      <c r="AB200" s="221"/>
    </row>
    <row r="201" spans="1:28" s="38" customFormat="1" ht="42" customHeight="1">
      <c r="A201" s="217" t="s">
        <v>109</v>
      </c>
      <c r="B201" s="218"/>
      <c r="C201" s="149">
        <f>SUM(C202:C204)</f>
        <v>179</v>
      </c>
      <c r="D201" s="62">
        <f>SUM(D202:D204)</f>
        <v>284</v>
      </c>
      <c r="E201" s="45">
        <f>SUM(E202:E204)</f>
        <v>463</v>
      </c>
      <c r="F201" s="45">
        <f>E181</f>
        <v>570</v>
      </c>
      <c r="G201" s="42" t="str">
        <f>A181</f>
        <v>Vest-Wood 2</v>
      </c>
      <c r="H201" s="62">
        <f>SUM(H202:H204)</f>
        <v>336</v>
      </c>
      <c r="I201" s="45">
        <f>SUM(I202:I204)</f>
        <v>515</v>
      </c>
      <c r="J201" s="45">
        <f>I189</f>
        <v>544</v>
      </c>
      <c r="K201" s="42" t="str">
        <f>A189</f>
        <v>Eesti Energia</v>
      </c>
      <c r="L201" s="133">
        <f>SUM(L202:L204)</f>
        <v>359</v>
      </c>
      <c r="M201" s="49">
        <f>SUM(M202:M204)</f>
        <v>538</v>
      </c>
      <c r="N201" s="45">
        <f>M197</f>
        <v>500</v>
      </c>
      <c r="O201" s="42" t="str">
        <f>A197</f>
        <v>Wiru Ehitus</v>
      </c>
      <c r="P201" s="45">
        <f>SUM(P202:P204)</f>
        <v>359</v>
      </c>
      <c r="Q201" s="49">
        <f>SUM(Q202:Q204)</f>
        <v>538</v>
      </c>
      <c r="R201" s="45">
        <f>Q185</f>
        <v>436</v>
      </c>
      <c r="S201" s="42" t="str">
        <f>A185</f>
        <v>Tapa Linna-valitsus</v>
      </c>
      <c r="T201" s="133">
        <f>SUM(T202:T204)</f>
        <v>321</v>
      </c>
      <c r="U201" s="49">
        <f>SUM(U202:U204)</f>
        <v>500</v>
      </c>
      <c r="V201" s="45">
        <f>U193</f>
        <v>571</v>
      </c>
      <c r="W201" s="42" t="str">
        <f>A193</f>
        <v>Assar Lukuauk</v>
      </c>
      <c r="X201" s="36">
        <f t="shared" si="6"/>
        <v>2554</v>
      </c>
      <c r="Y201" s="105">
        <f>SUM(Y202:Y204)</f>
        <v>1659</v>
      </c>
      <c r="Z201" s="65">
        <f>AVERAGE(Z202,Z203,Z204)</f>
        <v>170.26666666666668</v>
      </c>
      <c r="AA201" s="142">
        <f>AVERAGE(AA202,AA203,AA204)</f>
        <v>110.60000000000001</v>
      </c>
      <c r="AB201" s="219">
        <f>F202+J202+N202+R202+V202</f>
        <v>2</v>
      </c>
    </row>
    <row r="202" spans="1:28" s="38" customFormat="1" ht="15.75" customHeight="1">
      <c r="A202" s="222" t="s">
        <v>121</v>
      </c>
      <c r="B202" s="223"/>
      <c r="C202" s="150">
        <v>59</v>
      </c>
      <c r="D202" s="59">
        <v>86</v>
      </c>
      <c r="E202" s="50">
        <f>D202+C202</f>
        <v>145</v>
      </c>
      <c r="F202" s="224">
        <v>0</v>
      </c>
      <c r="G202" s="225"/>
      <c r="H202" s="97">
        <v>107</v>
      </c>
      <c r="I202" s="46">
        <f>H202+C202</f>
        <v>166</v>
      </c>
      <c r="J202" s="224">
        <v>0</v>
      </c>
      <c r="K202" s="225"/>
      <c r="L202" s="97">
        <v>141</v>
      </c>
      <c r="M202" s="50">
        <f>L202+C202</f>
        <v>200</v>
      </c>
      <c r="N202" s="224">
        <v>1</v>
      </c>
      <c r="O202" s="225"/>
      <c r="P202" s="97">
        <v>96</v>
      </c>
      <c r="Q202" s="50">
        <f>P202+C202</f>
        <v>155</v>
      </c>
      <c r="R202" s="224">
        <v>1</v>
      </c>
      <c r="S202" s="225"/>
      <c r="T202" s="97">
        <v>72</v>
      </c>
      <c r="U202" s="50">
        <f>T202+C202</f>
        <v>131</v>
      </c>
      <c r="V202" s="224">
        <v>0</v>
      </c>
      <c r="W202" s="225"/>
      <c r="X202" s="46">
        <f t="shared" si="6"/>
        <v>797</v>
      </c>
      <c r="Y202" s="106">
        <f>D202+H202+L202+P202+T202</f>
        <v>502</v>
      </c>
      <c r="Z202" s="67">
        <f>AVERAGE(E202,I202,M202,Q202,U202)</f>
        <v>159.4</v>
      </c>
      <c r="AA202" s="143">
        <f>AVERAGE(E202,I202,M202,Q202,U202)-C202</f>
        <v>100.4</v>
      </c>
      <c r="AB202" s="220"/>
    </row>
    <row r="203" spans="1:28" s="38" customFormat="1" ht="15.75" customHeight="1">
      <c r="A203" s="222" t="s">
        <v>264</v>
      </c>
      <c r="B203" s="223"/>
      <c r="C203" s="150">
        <v>60</v>
      </c>
      <c r="D203" s="59">
        <v>85</v>
      </c>
      <c r="E203" s="50">
        <f>D203+C203</f>
        <v>145</v>
      </c>
      <c r="F203" s="226"/>
      <c r="G203" s="227"/>
      <c r="H203" s="98">
        <v>81</v>
      </c>
      <c r="I203" s="46">
        <f>H203+C203</f>
        <v>141</v>
      </c>
      <c r="J203" s="226"/>
      <c r="K203" s="227"/>
      <c r="L203" s="98">
        <v>97</v>
      </c>
      <c r="M203" s="50">
        <f>L203+C203</f>
        <v>157</v>
      </c>
      <c r="N203" s="226"/>
      <c r="O203" s="227"/>
      <c r="P203" s="98">
        <v>139</v>
      </c>
      <c r="Q203" s="50">
        <f>P203+C203</f>
        <v>199</v>
      </c>
      <c r="R203" s="226"/>
      <c r="S203" s="227"/>
      <c r="T203" s="98">
        <v>121</v>
      </c>
      <c r="U203" s="50">
        <f>T203+C203</f>
        <v>181</v>
      </c>
      <c r="V203" s="226"/>
      <c r="W203" s="227"/>
      <c r="X203" s="46">
        <f t="shared" si="6"/>
        <v>823</v>
      </c>
      <c r="Y203" s="106">
        <f>D203+H203+L203+P203+T203</f>
        <v>523</v>
      </c>
      <c r="Z203" s="67">
        <f>AVERAGE(E203,I203,M203,Q203,U203)</f>
        <v>164.6</v>
      </c>
      <c r="AA203" s="143">
        <f>AVERAGE(E203,I203,M203,Q203,U203)-C203</f>
        <v>104.6</v>
      </c>
      <c r="AB203" s="220"/>
    </row>
    <row r="204" spans="1:28" s="38" customFormat="1" ht="15.75" customHeight="1" thickBot="1">
      <c r="A204" s="229" t="s">
        <v>265</v>
      </c>
      <c r="B204" s="230"/>
      <c r="C204" s="151">
        <v>60</v>
      </c>
      <c r="D204" s="60">
        <v>113</v>
      </c>
      <c r="E204" s="50">
        <f>D204+C204</f>
        <v>173</v>
      </c>
      <c r="F204" s="204"/>
      <c r="G204" s="228"/>
      <c r="H204" s="99">
        <v>148</v>
      </c>
      <c r="I204" s="46">
        <f>H204+C204</f>
        <v>208</v>
      </c>
      <c r="J204" s="204"/>
      <c r="K204" s="228"/>
      <c r="L204" s="99">
        <v>121</v>
      </c>
      <c r="M204" s="50">
        <f>L204+C204</f>
        <v>181</v>
      </c>
      <c r="N204" s="204"/>
      <c r="O204" s="228"/>
      <c r="P204" s="99">
        <v>124</v>
      </c>
      <c r="Q204" s="50">
        <f>P204+C204</f>
        <v>184</v>
      </c>
      <c r="R204" s="204"/>
      <c r="S204" s="228"/>
      <c r="T204" s="99">
        <v>128</v>
      </c>
      <c r="U204" s="50">
        <f>T204+C204</f>
        <v>188</v>
      </c>
      <c r="V204" s="204"/>
      <c r="W204" s="228"/>
      <c r="X204" s="47">
        <f t="shared" si="6"/>
        <v>934</v>
      </c>
      <c r="Y204" s="107">
        <f>D204+H204+L204+P204+T204</f>
        <v>634</v>
      </c>
      <c r="Z204" s="68">
        <f>AVERAGE(E204,I204,M204,Q204,U204)</f>
        <v>186.8</v>
      </c>
      <c r="AA204" s="144">
        <f>AVERAGE(E204,I204,M204,Q204,U204)-C204</f>
        <v>126.80000000000001</v>
      </c>
      <c r="AB204" s="221"/>
    </row>
  </sheetData>
  <mergeCells count="511">
    <mergeCell ref="A201:B201"/>
    <mergeCell ref="AB201:AB204"/>
    <mergeCell ref="A202:B202"/>
    <mergeCell ref="F202:G204"/>
    <mergeCell ref="J202:K204"/>
    <mergeCell ref="N202:O204"/>
    <mergeCell ref="R202:S204"/>
    <mergeCell ref="V202:W204"/>
    <mergeCell ref="A203:B203"/>
    <mergeCell ref="A204:B204"/>
    <mergeCell ref="A197:B197"/>
    <mergeCell ref="AB197:AB200"/>
    <mergeCell ref="A198:B198"/>
    <mergeCell ref="F198:G200"/>
    <mergeCell ref="J198:K200"/>
    <mergeCell ref="N198:O200"/>
    <mergeCell ref="R198:S200"/>
    <mergeCell ref="V198:W200"/>
    <mergeCell ref="A199:B199"/>
    <mergeCell ref="A200:B200"/>
    <mergeCell ref="A193:B193"/>
    <mergeCell ref="AB193:AB196"/>
    <mergeCell ref="A194:B194"/>
    <mergeCell ref="F194:G196"/>
    <mergeCell ref="J194:K196"/>
    <mergeCell ref="N194:O196"/>
    <mergeCell ref="R194:S196"/>
    <mergeCell ref="V194:W196"/>
    <mergeCell ref="A195:B195"/>
    <mergeCell ref="A196:B196"/>
    <mergeCell ref="A189:B189"/>
    <mergeCell ref="AB189:AB192"/>
    <mergeCell ref="A190:B190"/>
    <mergeCell ref="F190:G192"/>
    <mergeCell ref="J190:K192"/>
    <mergeCell ref="N190:O192"/>
    <mergeCell ref="R190:S192"/>
    <mergeCell ref="V190:W192"/>
    <mergeCell ref="A191:B191"/>
    <mergeCell ref="A192:B192"/>
    <mergeCell ref="A185:B185"/>
    <mergeCell ref="AB185:AB188"/>
    <mergeCell ref="A186:B186"/>
    <mergeCell ref="F186:G188"/>
    <mergeCell ref="J186:K188"/>
    <mergeCell ref="N186:O188"/>
    <mergeCell ref="R186:S188"/>
    <mergeCell ref="V186:W188"/>
    <mergeCell ref="A187:B187"/>
    <mergeCell ref="A188:B188"/>
    <mergeCell ref="A181:B181"/>
    <mergeCell ref="AB181:AB184"/>
    <mergeCell ref="A182:B182"/>
    <mergeCell ref="F182:G184"/>
    <mergeCell ref="J182:K184"/>
    <mergeCell ref="N182:O184"/>
    <mergeCell ref="R182:S184"/>
    <mergeCell ref="V182:W184"/>
    <mergeCell ref="A183:B183"/>
    <mergeCell ref="A184:B184"/>
    <mergeCell ref="V179:W179"/>
    <mergeCell ref="A180:B180"/>
    <mergeCell ref="F180:G180"/>
    <mergeCell ref="J180:K180"/>
    <mergeCell ref="N180:O180"/>
    <mergeCell ref="R180:S180"/>
    <mergeCell ref="V180:W180"/>
    <mergeCell ref="A176:U178"/>
    <mergeCell ref="A179:B179"/>
    <mergeCell ref="F179:G179"/>
    <mergeCell ref="J179:K179"/>
    <mergeCell ref="N179:O179"/>
    <mergeCell ref="R179:S179"/>
    <mergeCell ref="A172:B172"/>
    <mergeCell ref="AB172:AB175"/>
    <mergeCell ref="A173:B173"/>
    <mergeCell ref="F173:G175"/>
    <mergeCell ref="J173:K175"/>
    <mergeCell ref="N173:O175"/>
    <mergeCell ref="R173:S175"/>
    <mergeCell ref="V173:W175"/>
    <mergeCell ref="A174:B174"/>
    <mergeCell ref="A175:B175"/>
    <mergeCell ref="A168:B168"/>
    <mergeCell ref="AB168:AB171"/>
    <mergeCell ref="A169:B169"/>
    <mergeCell ref="F169:G171"/>
    <mergeCell ref="J169:K171"/>
    <mergeCell ref="N169:O171"/>
    <mergeCell ref="R169:S171"/>
    <mergeCell ref="V169:W171"/>
    <mergeCell ref="A170:B170"/>
    <mergeCell ref="A171:B171"/>
    <mergeCell ref="A164:B164"/>
    <mergeCell ref="AB164:AB167"/>
    <mergeCell ref="A165:B165"/>
    <mergeCell ref="F165:G167"/>
    <mergeCell ref="J165:K167"/>
    <mergeCell ref="N165:O167"/>
    <mergeCell ref="R165:S167"/>
    <mergeCell ref="V165:W167"/>
    <mergeCell ref="A166:B166"/>
    <mergeCell ref="A167:B167"/>
    <mergeCell ref="A160:B160"/>
    <mergeCell ref="AB160:AB163"/>
    <mergeCell ref="A161:B161"/>
    <mergeCell ref="F161:G163"/>
    <mergeCell ref="J161:K163"/>
    <mergeCell ref="N161:O163"/>
    <mergeCell ref="R161:S163"/>
    <mergeCell ref="V161:W163"/>
    <mergeCell ref="A162:B162"/>
    <mergeCell ref="A163:B163"/>
    <mergeCell ref="A156:B156"/>
    <mergeCell ref="AB156:AB159"/>
    <mergeCell ref="A157:B157"/>
    <mergeCell ref="F157:G159"/>
    <mergeCell ref="J157:K159"/>
    <mergeCell ref="N157:O159"/>
    <mergeCell ref="R157:S159"/>
    <mergeCell ref="V157:W159"/>
    <mergeCell ref="A158:B158"/>
    <mergeCell ref="A159:B159"/>
    <mergeCell ref="A152:B152"/>
    <mergeCell ref="AB152:AB155"/>
    <mergeCell ref="A153:B153"/>
    <mergeCell ref="F153:G155"/>
    <mergeCell ref="J153:K155"/>
    <mergeCell ref="N153:O155"/>
    <mergeCell ref="R153:S155"/>
    <mergeCell ref="V153:W155"/>
    <mergeCell ref="A154:B154"/>
    <mergeCell ref="A155:B155"/>
    <mergeCell ref="V150:W150"/>
    <mergeCell ref="A151:B151"/>
    <mergeCell ref="F151:G151"/>
    <mergeCell ref="J151:K151"/>
    <mergeCell ref="N151:O151"/>
    <mergeCell ref="R151:S151"/>
    <mergeCell ref="V151:W151"/>
    <mergeCell ref="A147:U149"/>
    <mergeCell ref="A150:B150"/>
    <mergeCell ref="F150:G150"/>
    <mergeCell ref="J150:K150"/>
    <mergeCell ref="N150:O150"/>
    <mergeCell ref="R150:S150"/>
    <mergeCell ref="A143:B143"/>
    <mergeCell ref="AB143:AB146"/>
    <mergeCell ref="A144:B144"/>
    <mergeCell ref="F144:G146"/>
    <mergeCell ref="J144:K146"/>
    <mergeCell ref="N144:O146"/>
    <mergeCell ref="R144:S146"/>
    <mergeCell ref="V144:W146"/>
    <mergeCell ref="A145:B145"/>
    <mergeCell ref="A146:B146"/>
    <mergeCell ref="A139:B139"/>
    <mergeCell ref="AB139:AB142"/>
    <mergeCell ref="A140:B140"/>
    <mergeCell ref="F140:G142"/>
    <mergeCell ref="J140:K142"/>
    <mergeCell ref="N140:O142"/>
    <mergeCell ref="R140:S142"/>
    <mergeCell ref="V140:W142"/>
    <mergeCell ref="A141:B141"/>
    <mergeCell ref="A142:B142"/>
    <mergeCell ref="A135:B135"/>
    <mergeCell ref="AB135:AB138"/>
    <mergeCell ref="A136:B136"/>
    <mergeCell ref="F136:G138"/>
    <mergeCell ref="J136:K138"/>
    <mergeCell ref="N136:O138"/>
    <mergeCell ref="R136:S138"/>
    <mergeCell ref="V136:W138"/>
    <mergeCell ref="A137:B137"/>
    <mergeCell ref="A138:B138"/>
    <mergeCell ref="A131:B131"/>
    <mergeCell ref="AB131:AB134"/>
    <mergeCell ref="A132:B132"/>
    <mergeCell ref="F132:G134"/>
    <mergeCell ref="J132:K134"/>
    <mergeCell ref="N132:O134"/>
    <mergeCell ref="R132:S134"/>
    <mergeCell ref="V132:W134"/>
    <mergeCell ref="A133:B133"/>
    <mergeCell ref="A134:B134"/>
    <mergeCell ref="A127:B127"/>
    <mergeCell ref="AB127:AB130"/>
    <mergeCell ref="A128:B128"/>
    <mergeCell ref="F128:G130"/>
    <mergeCell ref="J128:K130"/>
    <mergeCell ref="N128:O130"/>
    <mergeCell ref="R128:S130"/>
    <mergeCell ref="V128:W130"/>
    <mergeCell ref="A129:B129"/>
    <mergeCell ref="A130:B130"/>
    <mergeCell ref="A123:B123"/>
    <mergeCell ref="AB123:AB126"/>
    <mergeCell ref="A124:B124"/>
    <mergeCell ref="F124:G126"/>
    <mergeCell ref="J124:K126"/>
    <mergeCell ref="N124:O126"/>
    <mergeCell ref="R124:S126"/>
    <mergeCell ref="V124:W126"/>
    <mergeCell ref="A125:B125"/>
    <mergeCell ref="A126:B126"/>
    <mergeCell ref="V121:W121"/>
    <mergeCell ref="A122:B122"/>
    <mergeCell ref="F122:G122"/>
    <mergeCell ref="J122:K122"/>
    <mergeCell ref="N122:O122"/>
    <mergeCell ref="R122:S122"/>
    <mergeCell ref="V122:W122"/>
    <mergeCell ref="A118:U120"/>
    <mergeCell ref="A121:B121"/>
    <mergeCell ref="F121:G121"/>
    <mergeCell ref="J121:K121"/>
    <mergeCell ref="N121:O121"/>
    <mergeCell ref="R121:S121"/>
    <mergeCell ref="A114:B114"/>
    <mergeCell ref="AB114:AB117"/>
    <mergeCell ref="A115:B115"/>
    <mergeCell ref="F115:G117"/>
    <mergeCell ref="J115:K117"/>
    <mergeCell ref="N115:O117"/>
    <mergeCell ref="R115:S117"/>
    <mergeCell ref="V115:W117"/>
    <mergeCell ref="A116:B116"/>
    <mergeCell ref="A117:B117"/>
    <mergeCell ref="A110:B110"/>
    <mergeCell ref="AB110:AB113"/>
    <mergeCell ref="A111:B111"/>
    <mergeCell ref="F111:G113"/>
    <mergeCell ref="J111:K113"/>
    <mergeCell ref="N111:O113"/>
    <mergeCell ref="R111:S113"/>
    <mergeCell ref="V111:W113"/>
    <mergeCell ref="A112:B112"/>
    <mergeCell ref="A113:B113"/>
    <mergeCell ref="A106:B106"/>
    <mergeCell ref="AB106:AB109"/>
    <mergeCell ref="A107:B107"/>
    <mergeCell ref="F107:G109"/>
    <mergeCell ref="J107:K109"/>
    <mergeCell ref="N107:O109"/>
    <mergeCell ref="R107:S109"/>
    <mergeCell ref="V107:W109"/>
    <mergeCell ref="A108:B108"/>
    <mergeCell ref="A109:B109"/>
    <mergeCell ref="A102:B102"/>
    <mergeCell ref="AB102:AB105"/>
    <mergeCell ref="A103:B103"/>
    <mergeCell ref="F103:G105"/>
    <mergeCell ref="J103:K105"/>
    <mergeCell ref="N103:O105"/>
    <mergeCell ref="R103:S105"/>
    <mergeCell ref="V103:W105"/>
    <mergeCell ref="A104:B104"/>
    <mergeCell ref="A105:B105"/>
    <mergeCell ref="A98:B98"/>
    <mergeCell ref="AB98:AB101"/>
    <mergeCell ref="A99:B99"/>
    <mergeCell ref="F99:G101"/>
    <mergeCell ref="J99:K101"/>
    <mergeCell ref="N99:O101"/>
    <mergeCell ref="R99:S101"/>
    <mergeCell ref="V99:W101"/>
    <mergeCell ref="A100:B100"/>
    <mergeCell ref="A101:B101"/>
    <mergeCell ref="A94:B94"/>
    <mergeCell ref="AB94:AB97"/>
    <mergeCell ref="A95:B95"/>
    <mergeCell ref="F95:G97"/>
    <mergeCell ref="J95:K97"/>
    <mergeCell ref="N95:O97"/>
    <mergeCell ref="R95:S97"/>
    <mergeCell ref="V95:W97"/>
    <mergeCell ref="A96:B96"/>
    <mergeCell ref="A97:B97"/>
    <mergeCell ref="V92:W92"/>
    <mergeCell ref="A93:B93"/>
    <mergeCell ref="F93:G93"/>
    <mergeCell ref="J93:K93"/>
    <mergeCell ref="N93:O93"/>
    <mergeCell ref="R93:S93"/>
    <mergeCell ref="V93:W93"/>
    <mergeCell ref="A89:U91"/>
    <mergeCell ref="A92:B92"/>
    <mergeCell ref="F92:G92"/>
    <mergeCell ref="J92:K92"/>
    <mergeCell ref="N92:O92"/>
    <mergeCell ref="R92:S92"/>
    <mergeCell ref="A85:B85"/>
    <mergeCell ref="AB85:AB88"/>
    <mergeCell ref="A86:B86"/>
    <mergeCell ref="F86:G88"/>
    <mergeCell ref="J86:K88"/>
    <mergeCell ref="N86:O88"/>
    <mergeCell ref="R86:S88"/>
    <mergeCell ref="V86:W88"/>
    <mergeCell ref="A87:B87"/>
    <mergeCell ref="A88:B88"/>
    <mergeCell ref="A81:B81"/>
    <mergeCell ref="AB81:AB84"/>
    <mergeCell ref="A82:B82"/>
    <mergeCell ref="F82:G84"/>
    <mergeCell ref="J82:K84"/>
    <mergeCell ref="N82:O84"/>
    <mergeCell ref="R82:S84"/>
    <mergeCell ref="V82:W84"/>
    <mergeCell ref="A83:B83"/>
    <mergeCell ref="A84:B84"/>
    <mergeCell ref="A77:B77"/>
    <mergeCell ref="AB77:AB80"/>
    <mergeCell ref="A78:B78"/>
    <mergeCell ref="F78:G80"/>
    <mergeCell ref="J78:K80"/>
    <mergeCell ref="N78:O80"/>
    <mergeCell ref="R78:S80"/>
    <mergeCell ref="V78:W80"/>
    <mergeCell ref="A79:B79"/>
    <mergeCell ref="A80:B80"/>
    <mergeCell ref="A73:B73"/>
    <mergeCell ref="AB73:AB76"/>
    <mergeCell ref="A74:B74"/>
    <mergeCell ref="F74:G76"/>
    <mergeCell ref="J74:K76"/>
    <mergeCell ref="N74:O76"/>
    <mergeCell ref="R74:S76"/>
    <mergeCell ref="V74:W76"/>
    <mergeCell ref="A75:B75"/>
    <mergeCell ref="A76:B76"/>
    <mergeCell ref="A69:B69"/>
    <mergeCell ref="AB69:AB72"/>
    <mergeCell ref="A70:B70"/>
    <mergeCell ref="F70:G72"/>
    <mergeCell ref="J70:K72"/>
    <mergeCell ref="N70:O72"/>
    <mergeCell ref="R70:S72"/>
    <mergeCell ref="V70:W72"/>
    <mergeCell ref="A71:B71"/>
    <mergeCell ref="A72:B72"/>
    <mergeCell ref="A65:B65"/>
    <mergeCell ref="AB65:AB68"/>
    <mergeCell ref="A66:B66"/>
    <mergeCell ref="F66:G68"/>
    <mergeCell ref="J66:K68"/>
    <mergeCell ref="N66:O68"/>
    <mergeCell ref="R66:S68"/>
    <mergeCell ref="V66:W68"/>
    <mergeCell ref="A67:B67"/>
    <mergeCell ref="A68:B68"/>
    <mergeCell ref="V63:W63"/>
    <mergeCell ref="A64:B64"/>
    <mergeCell ref="F64:G64"/>
    <mergeCell ref="J64:K64"/>
    <mergeCell ref="N64:O64"/>
    <mergeCell ref="R64:S64"/>
    <mergeCell ref="V64:W64"/>
    <mergeCell ref="A60:U62"/>
    <mergeCell ref="A63:B63"/>
    <mergeCell ref="F63:G63"/>
    <mergeCell ref="J63:K63"/>
    <mergeCell ref="N63:O63"/>
    <mergeCell ref="R63:S63"/>
    <mergeCell ref="A55:B55"/>
    <mergeCell ref="AB55:AB58"/>
    <mergeCell ref="A56:B56"/>
    <mergeCell ref="F56:G58"/>
    <mergeCell ref="J56:K58"/>
    <mergeCell ref="N56:O58"/>
    <mergeCell ref="R56:S58"/>
    <mergeCell ref="V56:W58"/>
    <mergeCell ref="A57:B57"/>
    <mergeCell ref="A58:B58"/>
    <mergeCell ref="A51:B51"/>
    <mergeCell ref="AB51:AB54"/>
    <mergeCell ref="A52:B52"/>
    <mergeCell ref="F52:G54"/>
    <mergeCell ref="J52:K54"/>
    <mergeCell ref="N52:O54"/>
    <mergeCell ref="R52:S54"/>
    <mergeCell ref="V52:W54"/>
    <mergeCell ref="A53:B53"/>
    <mergeCell ref="A54:B54"/>
    <mergeCell ref="A47:B47"/>
    <mergeCell ref="AB47:AB50"/>
    <mergeCell ref="A48:B48"/>
    <mergeCell ref="F48:G50"/>
    <mergeCell ref="J48:K50"/>
    <mergeCell ref="N48:O50"/>
    <mergeCell ref="R48:S50"/>
    <mergeCell ref="V48:W50"/>
    <mergeCell ref="A49:B49"/>
    <mergeCell ref="A50:B50"/>
    <mergeCell ref="A43:B43"/>
    <mergeCell ref="AB43:AB46"/>
    <mergeCell ref="A44:B44"/>
    <mergeCell ref="F44:G46"/>
    <mergeCell ref="J44:K46"/>
    <mergeCell ref="N44:O46"/>
    <mergeCell ref="R44:S46"/>
    <mergeCell ref="V44:W46"/>
    <mergeCell ref="A45:B45"/>
    <mergeCell ref="A46:B46"/>
    <mergeCell ref="A39:B39"/>
    <mergeCell ref="AB39:AB42"/>
    <mergeCell ref="A40:B40"/>
    <mergeCell ref="F40:G42"/>
    <mergeCell ref="J40:K42"/>
    <mergeCell ref="N40:O42"/>
    <mergeCell ref="R40:S42"/>
    <mergeCell ref="V40:W42"/>
    <mergeCell ref="A41:B41"/>
    <mergeCell ref="A42:B42"/>
    <mergeCell ref="A35:B35"/>
    <mergeCell ref="AB35:AB38"/>
    <mergeCell ref="A36:B36"/>
    <mergeCell ref="F36:G38"/>
    <mergeCell ref="J36:K38"/>
    <mergeCell ref="N36:O38"/>
    <mergeCell ref="R36:S38"/>
    <mergeCell ref="V36:W38"/>
    <mergeCell ref="A37:B37"/>
    <mergeCell ref="A38:B38"/>
    <mergeCell ref="V33:W33"/>
    <mergeCell ref="A34:B34"/>
    <mergeCell ref="F34:G34"/>
    <mergeCell ref="J34:K34"/>
    <mergeCell ref="N34:O34"/>
    <mergeCell ref="R34:S34"/>
    <mergeCell ref="V34:W34"/>
    <mergeCell ref="A30:U32"/>
    <mergeCell ref="A33:B33"/>
    <mergeCell ref="F33:G33"/>
    <mergeCell ref="J33:K33"/>
    <mergeCell ref="N33:O33"/>
    <mergeCell ref="R33:S33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V4:W4"/>
    <mergeCell ref="A5:B5"/>
    <mergeCell ref="F5:G5"/>
    <mergeCell ref="J5:K5"/>
    <mergeCell ref="N5:O5"/>
    <mergeCell ref="R5:S5"/>
    <mergeCell ref="V5:W5"/>
    <mergeCell ref="A1:U3"/>
    <mergeCell ref="A4:B4"/>
    <mergeCell ref="F4:G4"/>
    <mergeCell ref="J4:K4"/>
    <mergeCell ref="N4:O4"/>
    <mergeCell ref="R4:S4"/>
  </mergeCells>
  <conditionalFormatting sqref="J198 P198:Q200 F198 L198:M200 H198:I200 X194:X200 J185 Y198:Z200 V198 C190:Z192 R198 N198 C198:E200 Y194:Z196 C186:Z188 C182:Z184 C194:W196 T23:U25 T198:U200 J169 C161:Z163 F169 T169:U171 C165:W167 X165:X171 J156 Y169:Z171 V169 C202:Z204 R169 N169 C153:Z155 Y165:Z167 C23:E25 P169:Q171 C169:E171 H169:I171 C157:Z159 J140 L140:M142 F140 H140:I142 P140:Q142 X136:X142 J127 Y140:Z142 V140 L169:M171 R140 N140 C173:Z175 Y136:Z138 C136:W138 C132:Z134 C128:Z130 C124:Z126 T140:U142 J111 C99:Z101 F111 C95:Z97 C103:Z105 X107:X113 J98 Y111:Z113 V111 C107:W109 R111 N111 C140:E142 Y107:Z109 H111:I113 C144:Z146 P111:Q113 L111:M113 T111:U113 C70:Z72 X78:X84 J69 Y82:Z84 C115:Z117 C74:Z76 C82:W84 C78:W80 Y78:Z80 C111:E113 J52 C66:Z68 P52:Q54 C44:Z46 X48:X54 J39 Y52:Z54 V52 C36:Z38 R52 N52 C40:Z42 Y48:Z50 L52:M54 H52:I54 C86:Z88 C48:W50 F52 T52:U54 J23 C19:W21 C15:Z17 L23:M25 X19:X25 J10 Y23:Z25 V23 C56:Z58 R23 N23 H23:I25 Y19:Z21 C11:Z13 C7:Z9 C52:E54 P23:Q25 F23 C27:Z29">
    <cfRule type="cellIs" priority="1" dxfId="6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4"/>
  <sheetViews>
    <sheetView zoomScale="75" zoomScaleNormal="75" workbookViewId="0" topLeftCell="A1">
      <selection activeCell="AA2" sqref="AA2"/>
    </sheetView>
  </sheetViews>
  <sheetFormatPr defaultColWidth="9.140625" defaultRowHeight="12.75"/>
  <cols>
    <col min="1" max="1" width="9.140625" style="39" customWidth="1"/>
    <col min="2" max="2" width="10.7109375" style="39" customWidth="1"/>
    <col min="3" max="3" width="5.28125" style="146" customWidth="1"/>
    <col min="4" max="4" width="5.28125" style="61" hidden="1" customWidth="1"/>
    <col min="5" max="5" width="8.28125" style="22" bestFit="1" customWidth="1"/>
    <col min="6" max="6" width="6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6.00390625" style="22" customWidth="1"/>
    <col min="11" max="11" width="8.57421875" style="22" customWidth="1"/>
    <col min="12" max="12" width="5.28125" style="83" hidden="1" customWidth="1"/>
    <col min="13" max="13" width="7.57421875" style="22" customWidth="1"/>
    <col min="14" max="14" width="5.8515625" style="22" customWidth="1"/>
    <col min="15" max="15" width="8.7109375" style="22" customWidth="1"/>
    <col min="16" max="16" width="5.28125" style="83" hidden="1" customWidth="1"/>
    <col min="17" max="17" width="8.28125" style="22" customWidth="1"/>
    <col min="18" max="18" width="6.140625" style="22" customWidth="1"/>
    <col min="19" max="19" width="9.00390625" style="22" customWidth="1"/>
    <col min="20" max="20" width="5.28125" style="83" hidden="1" customWidth="1"/>
    <col min="21" max="21" width="8.28125" style="22" customWidth="1"/>
    <col min="22" max="22" width="5.7109375" style="22" customWidth="1"/>
    <col min="23" max="23" width="8.7109375" style="22" customWidth="1"/>
    <col min="24" max="24" width="10.00390625" style="22" customWidth="1"/>
    <col min="25" max="25" width="5.8515625" style="83" hidden="1" customWidth="1"/>
    <col min="26" max="26" width="11.28125" style="22" customWidth="1"/>
    <col min="27" max="27" width="9.421875" style="138" customWidth="1"/>
    <col min="28" max="28" width="13.00390625" style="22" bestFit="1" customWidth="1"/>
    <col min="29" max="16384" width="9.140625" style="22" customWidth="1"/>
  </cols>
  <sheetData>
    <row r="1" spans="1:28" s="40" customFormat="1" ht="0.75" customHeight="1">
      <c r="A1" s="207" t="s">
        <v>336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4"/>
      <c r="W1" s="25"/>
      <c r="Y1" s="57"/>
      <c r="Z1" s="41"/>
      <c r="AA1" s="139"/>
      <c r="AB1" s="25"/>
    </row>
    <row r="2" spans="1:28" s="40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4"/>
      <c r="W2" s="25"/>
      <c r="Y2" s="57"/>
      <c r="Z2" s="41"/>
      <c r="AA2" s="139"/>
      <c r="AB2" s="25"/>
    </row>
    <row r="3" spans="1:28" s="40" customFormat="1" ht="23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5"/>
      <c r="W3" s="25"/>
      <c r="Y3" s="57"/>
      <c r="Z3" s="41"/>
      <c r="AA3" s="139"/>
      <c r="AB3" s="25"/>
    </row>
    <row r="4" spans="1:28" s="31" customFormat="1" ht="15.75" customHeight="1">
      <c r="A4" s="209" t="s">
        <v>0</v>
      </c>
      <c r="B4" s="210"/>
      <c r="C4" s="147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140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48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141" t="s">
        <v>43</v>
      </c>
      <c r="AB5" s="35" t="s">
        <v>12</v>
      </c>
    </row>
    <row r="6" spans="1:28" s="38" customFormat="1" ht="42" customHeight="1">
      <c r="A6" s="217" t="s">
        <v>66</v>
      </c>
      <c r="B6" s="218"/>
      <c r="C6" s="149">
        <f>SUM(C7:C9)</f>
        <v>80</v>
      </c>
      <c r="D6" s="62">
        <f>SUM(D7:D9)</f>
        <v>459</v>
      </c>
      <c r="E6" s="63">
        <f>SUM(E7:E9)</f>
        <v>539</v>
      </c>
      <c r="F6" s="46">
        <f>E26</f>
        <v>570</v>
      </c>
      <c r="G6" s="64" t="str">
        <f>A26</f>
        <v>Wiru Auto</v>
      </c>
      <c r="H6" s="62">
        <f>SUM(H7:H9)</f>
        <v>442</v>
      </c>
      <c r="I6" s="49">
        <f>SUM(I7:I9)</f>
        <v>522</v>
      </c>
      <c r="J6" s="49">
        <f>I22</f>
        <v>536</v>
      </c>
      <c r="K6" s="42" t="str">
        <f>A22</f>
        <v>VERX</v>
      </c>
      <c r="L6" s="58">
        <f>SUM(L7:L9)</f>
        <v>456</v>
      </c>
      <c r="M6" s="45">
        <f>SUM(M7:M9)</f>
        <v>536</v>
      </c>
      <c r="N6" s="45">
        <f>M18</f>
        <v>580</v>
      </c>
      <c r="O6" s="42" t="str">
        <f>A18</f>
        <v>NOOBEL</v>
      </c>
      <c r="P6" s="45">
        <f>SUM(P7:P9)</f>
        <v>445</v>
      </c>
      <c r="Q6" s="45">
        <f>SUM(Q7:Q9)</f>
        <v>525</v>
      </c>
      <c r="R6" s="45">
        <f>Q14</f>
        <v>537</v>
      </c>
      <c r="S6" s="42" t="str">
        <f>A14</f>
        <v>Telfer Grupp</v>
      </c>
      <c r="T6" s="133">
        <f>SUM(T7:T9)</f>
        <v>504</v>
      </c>
      <c r="U6" s="45">
        <f>SUM(U7:U9)</f>
        <v>584</v>
      </c>
      <c r="V6" s="45">
        <f>U10</f>
        <v>567</v>
      </c>
      <c r="W6" s="42" t="str">
        <f>A10</f>
        <v>Isokuul</v>
      </c>
      <c r="X6" s="36">
        <f aca="true" t="shared" si="0" ref="X6:X29">E6+I6+M6+Q6+U6</f>
        <v>2706</v>
      </c>
      <c r="Y6" s="105">
        <f>SUM(Y7:Y9)</f>
        <v>2306</v>
      </c>
      <c r="Z6" s="37">
        <f>AVERAGE(Z7,Z8,Z9)</f>
        <v>180.4</v>
      </c>
      <c r="AA6" s="142">
        <f>AVERAGE(AA7,AA8,AA9)</f>
        <v>153.73333333333335</v>
      </c>
      <c r="AB6" s="219">
        <f>F7+J7+N7+R7+V7</f>
        <v>1</v>
      </c>
    </row>
    <row r="7" spans="1:28" s="38" customFormat="1" ht="15.75" customHeight="1">
      <c r="A7" s="222" t="s">
        <v>50</v>
      </c>
      <c r="B7" s="223"/>
      <c r="C7" s="150">
        <v>24</v>
      </c>
      <c r="D7" s="59">
        <v>166</v>
      </c>
      <c r="E7" s="50">
        <f>D7+C7</f>
        <v>190</v>
      </c>
      <c r="F7" s="224">
        <v>0</v>
      </c>
      <c r="G7" s="225"/>
      <c r="H7" s="97">
        <v>135</v>
      </c>
      <c r="I7" s="46">
        <f>H7+C7</f>
        <v>159</v>
      </c>
      <c r="J7" s="224">
        <v>0</v>
      </c>
      <c r="K7" s="225"/>
      <c r="L7" s="97">
        <v>136</v>
      </c>
      <c r="M7" s="50">
        <f>L7+C7</f>
        <v>160</v>
      </c>
      <c r="N7" s="224">
        <v>0</v>
      </c>
      <c r="O7" s="225"/>
      <c r="P7" s="97">
        <v>158</v>
      </c>
      <c r="Q7" s="50">
        <f>P7+C7</f>
        <v>182</v>
      </c>
      <c r="R7" s="224">
        <v>0</v>
      </c>
      <c r="S7" s="225"/>
      <c r="T7" s="97">
        <v>183</v>
      </c>
      <c r="U7" s="50">
        <f>T7+C7</f>
        <v>207</v>
      </c>
      <c r="V7" s="224">
        <v>1</v>
      </c>
      <c r="W7" s="225"/>
      <c r="X7" s="46">
        <f t="shared" si="0"/>
        <v>898</v>
      </c>
      <c r="Y7" s="106">
        <f>D7+H7+L7+P7+T7</f>
        <v>778</v>
      </c>
      <c r="Z7" s="67">
        <f>AVERAGE(E7,I7,M7,Q7,U7)</f>
        <v>179.6</v>
      </c>
      <c r="AA7" s="143">
        <f>AVERAGE(E7,I7,M7,Q7,U7)-C7</f>
        <v>155.6</v>
      </c>
      <c r="AB7" s="220"/>
    </row>
    <row r="8" spans="1:28" s="38" customFormat="1" ht="15.75" customHeight="1">
      <c r="A8" s="222" t="s">
        <v>51</v>
      </c>
      <c r="B8" s="223"/>
      <c r="C8" s="150">
        <v>35</v>
      </c>
      <c r="D8" s="59">
        <v>120</v>
      </c>
      <c r="E8" s="50">
        <f>D8+C8</f>
        <v>155</v>
      </c>
      <c r="F8" s="226"/>
      <c r="G8" s="227"/>
      <c r="H8" s="98">
        <v>145</v>
      </c>
      <c r="I8" s="46">
        <f>H8+C8</f>
        <v>180</v>
      </c>
      <c r="J8" s="226"/>
      <c r="K8" s="227"/>
      <c r="L8" s="98">
        <v>142</v>
      </c>
      <c r="M8" s="50">
        <f>L8+C8</f>
        <v>177</v>
      </c>
      <c r="N8" s="226"/>
      <c r="O8" s="227"/>
      <c r="P8" s="98">
        <v>160</v>
      </c>
      <c r="Q8" s="50">
        <f>P8+C8</f>
        <v>195</v>
      </c>
      <c r="R8" s="226"/>
      <c r="S8" s="227"/>
      <c r="T8" s="98">
        <v>133</v>
      </c>
      <c r="U8" s="50">
        <f>T8+C8</f>
        <v>168</v>
      </c>
      <c r="V8" s="226"/>
      <c r="W8" s="227"/>
      <c r="X8" s="46">
        <f t="shared" si="0"/>
        <v>875</v>
      </c>
      <c r="Y8" s="106">
        <f>D8+H8+L8+P8+T8</f>
        <v>700</v>
      </c>
      <c r="Z8" s="67">
        <f>AVERAGE(E8,I8,M8,Q8,U8)</f>
        <v>175</v>
      </c>
      <c r="AA8" s="143">
        <f>AVERAGE(E8,I8,M8,Q8,U8)-C8</f>
        <v>140</v>
      </c>
      <c r="AB8" s="220"/>
    </row>
    <row r="9" spans="1:28" s="38" customFormat="1" ht="16.5" customHeight="1" thickBot="1">
      <c r="A9" s="229" t="s">
        <v>288</v>
      </c>
      <c r="B9" s="230"/>
      <c r="C9" s="151">
        <v>21</v>
      </c>
      <c r="D9" s="60">
        <v>173</v>
      </c>
      <c r="E9" s="50">
        <f>D9+C9</f>
        <v>194</v>
      </c>
      <c r="F9" s="204"/>
      <c r="G9" s="228"/>
      <c r="H9" s="99">
        <v>162</v>
      </c>
      <c r="I9" s="46">
        <f>H9+C9</f>
        <v>183</v>
      </c>
      <c r="J9" s="204"/>
      <c r="K9" s="228"/>
      <c r="L9" s="99">
        <v>178</v>
      </c>
      <c r="M9" s="50">
        <f>L9+C9</f>
        <v>199</v>
      </c>
      <c r="N9" s="204"/>
      <c r="O9" s="228"/>
      <c r="P9" s="99">
        <v>127</v>
      </c>
      <c r="Q9" s="50">
        <f>P9+C9</f>
        <v>148</v>
      </c>
      <c r="R9" s="204"/>
      <c r="S9" s="228"/>
      <c r="T9" s="99">
        <v>188</v>
      </c>
      <c r="U9" s="50">
        <f>T9+C9</f>
        <v>209</v>
      </c>
      <c r="V9" s="204"/>
      <c r="W9" s="228"/>
      <c r="X9" s="47">
        <f t="shared" si="0"/>
        <v>933</v>
      </c>
      <c r="Y9" s="107">
        <f>D9+H9+L9+P9+T9</f>
        <v>828</v>
      </c>
      <c r="Z9" s="68">
        <f>AVERAGE(E9,I9,M9,Q9,U9)</f>
        <v>186.6</v>
      </c>
      <c r="AA9" s="144">
        <f>AVERAGE(E9,I9,M9,Q9,U9)-C9</f>
        <v>165.6</v>
      </c>
      <c r="AB9" s="221"/>
    </row>
    <row r="10" spans="1:28" s="38" customFormat="1" ht="41.25" customHeight="1">
      <c r="A10" s="217" t="s">
        <v>132</v>
      </c>
      <c r="B10" s="218"/>
      <c r="C10" s="149">
        <f>SUM(C11:C13)</f>
        <v>80</v>
      </c>
      <c r="D10" s="62">
        <f>SUM(D11:D13)</f>
        <v>514</v>
      </c>
      <c r="E10" s="45">
        <f>SUM(E11:E13)</f>
        <v>594</v>
      </c>
      <c r="F10" s="45">
        <f>E22</f>
        <v>609</v>
      </c>
      <c r="G10" s="42" t="str">
        <f>A22</f>
        <v>VERX</v>
      </c>
      <c r="H10" s="62">
        <f>SUM(H11:H13)</f>
        <v>498</v>
      </c>
      <c r="I10" s="45">
        <f>SUM(I11:I13)</f>
        <v>578</v>
      </c>
      <c r="J10" s="45">
        <f>I18</f>
        <v>614</v>
      </c>
      <c r="K10" s="42" t="str">
        <f>A18</f>
        <v>NOOBEL</v>
      </c>
      <c r="L10" s="133">
        <f>SUM(L11:L13)</f>
        <v>522</v>
      </c>
      <c r="M10" s="49">
        <f>SUM(M11:M13)</f>
        <v>602</v>
      </c>
      <c r="N10" s="45">
        <f>M14</f>
        <v>567</v>
      </c>
      <c r="O10" s="42" t="str">
        <f>A14</f>
        <v>Telfer Grupp</v>
      </c>
      <c r="P10" s="45">
        <f>SUM(P11:P13)</f>
        <v>548</v>
      </c>
      <c r="Q10" s="49">
        <f>SUM(Q11:Q13)</f>
        <v>628</v>
      </c>
      <c r="R10" s="45">
        <f>Q26</f>
        <v>482</v>
      </c>
      <c r="S10" s="42" t="str">
        <f>A26</f>
        <v>Wiru Auto</v>
      </c>
      <c r="T10" s="133">
        <f>SUM(T11:T13)</f>
        <v>487</v>
      </c>
      <c r="U10" s="49">
        <f>SUM(U11:U13)</f>
        <v>567</v>
      </c>
      <c r="V10" s="45">
        <f>U6</f>
        <v>584</v>
      </c>
      <c r="W10" s="42" t="str">
        <f>A6</f>
        <v>Fulltrade</v>
      </c>
      <c r="X10" s="36">
        <f t="shared" si="0"/>
        <v>2969</v>
      </c>
      <c r="Y10" s="105">
        <f>SUM(Y11:Y13)</f>
        <v>2569</v>
      </c>
      <c r="Z10" s="65">
        <f>AVERAGE(Z11,Z12,Z13)</f>
        <v>197.9333333333333</v>
      </c>
      <c r="AA10" s="142">
        <f>AVERAGE(AA11,AA12,AA13)</f>
        <v>171.26666666666665</v>
      </c>
      <c r="AB10" s="219">
        <f>F11+J11+N11+R11+V11</f>
        <v>2</v>
      </c>
    </row>
    <row r="11" spans="1:28" s="38" customFormat="1" ht="15.75" customHeight="1">
      <c r="A11" s="222" t="s">
        <v>117</v>
      </c>
      <c r="B11" s="223"/>
      <c r="C11" s="150">
        <v>32</v>
      </c>
      <c r="D11" s="59">
        <v>189</v>
      </c>
      <c r="E11" s="50">
        <f>D11+C11</f>
        <v>221</v>
      </c>
      <c r="F11" s="224">
        <v>0</v>
      </c>
      <c r="G11" s="225"/>
      <c r="H11" s="97">
        <v>157</v>
      </c>
      <c r="I11" s="46">
        <f>H11+C11</f>
        <v>189</v>
      </c>
      <c r="J11" s="224">
        <v>0</v>
      </c>
      <c r="K11" s="225"/>
      <c r="L11" s="97">
        <v>169</v>
      </c>
      <c r="M11" s="50">
        <f>L11+C11</f>
        <v>201</v>
      </c>
      <c r="N11" s="224">
        <v>1</v>
      </c>
      <c r="O11" s="225"/>
      <c r="P11" s="97">
        <v>194</v>
      </c>
      <c r="Q11" s="50">
        <f>P11+C11</f>
        <v>226</v>
      </c>
      <c r="R11" s="224">
        <v>1</v>
      </c>
      <c r="S11" s="225"/>
      <c r="T11" s="97">
        <v>180</v>
      </c>
      <c r="U11" s="50">
        <f>T11+C11</f>
        <v>212</v>
      </c>
      <c r="V11" s="224">
        <v>0</v>
      </c>
      <c r="W11" s="225"/>
      <c r="X11" s="46">
        <f t="shared" si="0"/>
        <v>1049</v>
      </c>
      <c r="Y11" s="106">
        <f>D11+H11+L11+P11+T11</f>
        <v>889</v>
      </c>
      <c r="Z11" s="67">
        <f>AVERAGE(E11,I11,M11,Q11,U11)</f>
        <v>209.8</v>
      </c>
      <c r="AA11" s="143">
        <f>AVERAGE(E11,I11,M11,Q11,U11)-C11</f>
        <v>177.8</v>
      </c>
      <c r="AB11" s="220"/>
    </row>
    <row r="12" spans="1:28" s="38" customFormat="1" ht="15.75" customHeight="1">
      <c r="A12" s="222" t="s">
        <v>115</v>
      </c>
      <c r="B12" s="223"/>
      <c r="C12" s="150">
        <v>25</v>
      </c>
      <c r="D12" s="59">
        <v>160</v>
      </c>
      <c r="E12" s="50">
        <f>D12+C12</f>
        <v>185</v>
      </c>
      <c r="F12" s="226"/>
      <c r="G12" s="227"/>
      <c r="H12" s="98">
        <v>181</v>
      </c>
      <c r="I12" s="46">
        <f>H12+C12</f>
        <v>206</v>
      </c>
      <c r="J12" s="226"/>
      <c r="K12" s="227"/>
      <c r="L12" s="98">
        <v>175</v>
      </c>
      <c r="M12" s="50">
        <f>L12+C12</f>
        <v>200</v>
      </c>
      <c r="N12" s="226"/>
      <c r="O12" s="227"/>
      <c r="P12" s="98">
        <v>170</v>
      </c>
      <c r="Q12" s="50">
        <f>P12+C12</f>
        <v>195</v>
      </c>
      <c r="R12" s="226"/>
      <c r="S12" s="227"/>
      <c r="T12" s="98">
        <v>157</v>
      </c>
      <c r="U12" s="50">
        <f>T12+C12</f>
        <v>182</v>
      </c>
      <c r="V12" s="226"/>
      <c r="W12" s="227"/>
      <c r="X12" s="46">
        <f t="shared" si="0"/>
        <v>968</v>
      </c>
      <c r="Y12" s="106">
        <f>D12+H12+L12+P12+T12</f>
        <v>843</v>
      </c>
      <c r="Z12" s="67">
        <f>AVERAGE(E12,I12,M12,Q12,U12)</f>
        <v>193.6</v>
      </c>
      <c r="AA12" s="143">
        <f>AVERAGE(E12,I12,M12,Q12,U12)-C12</f>
        <v>168.6</v>
      </c>
      <c r="AB12" s="220"/>
    </row>
    <row r="13" spans="1:28" s="38" customFormat="1" ht="15.75" customHeight="1" thickBot="1">
      <c r="A13" s="229" t="s">
        <v>289</v>
      </c>
      <c r="B13" s="230"/>
      <c r="C13" s="151">
        <v>23</v>
      </c>
      <c r="D13" s="60">
        <v>165</v>
      </c>
      <c r="E13" s="50">
        <f>D13+C13</f>
        <v>188</v>
      </c>
      <c r="F13" s="204"/>
      <c r="G13" s="228"/>
      <c r="H13" s="99">
        <v>160</v>
      </c>
      <c r="I13" s="46">
        <f>H13+C13</f>
        <v>183</v>
      </c>
      <c r="J13" s="204"/>
      <c r="K13" s="228"/>
      <c r="L13" s="99">
        <v>178</v>
      </c>
      <c r="M13" s="50">
        <f>L13+C13</f>
        <v>201</v>
      </c>
      <c r="N13" s="204"/>
      <c r="O13" s="228"/>
      <c r="P13" s="99">
        <v>184</v>
      </c>
      <c r="Q13" s="50">
        <f>P13+C13</f>
        <v>207</v>
      </c>
      <c r="R13" s="204"/>
      <c r="S13" s="228"/>
      <c r="T13" s="99">
        <v>150</v>
      </c>
      <c r="U13" s="50">
        <f>T13+C13</f>
        <v>173</v>
      </c>
      <c r="V13" s="204"/>
      <c r="W13" s="228"/>
      <c r="X13" s="47">
        <f t="shared" si="0"/>
        <v>952</v>
      </c>
      <c r="Y13" s="107">
        <f>D13+H13+L13+P13+T13</f>
        <v>837</v>
      </c>
      <c r="Z13" s="68">
        <f>AVERAGE(E13,I13,M13,Q13,U13)</f>
        <v>190.4</v>
      </c>
      <c r="AA13" s="144">
        <f>AVERAGE(E13,I13,M13,Q13,U13)-C13</f>
        <v>167.4</v>
      </c>
      <c r="AB13" s="221"/>
    </row>
    <row r="14" spans="1:28" s="38" customFormat="1" ht="47.25" customHeight="1">
      <c r="A14" s="217" t="s">
        <v>257</v>
      </c>
      <c r="B14" s="218"/>
      <c r="C14" s="149">
        <f>SUM(C15:C17)</f>
        <v>102</v>
      </c>
      <c r="D14" s="62">
        <f>SUM(D15:D17)</f>
        <v>469</v>
      </c>
      <c r="E14" s="45">
        <f>SUM(E15:E17)</f>
        <v>571</v>
      </c>
      <c r="F14" s="45">
        <f>E18</f>
        <v>516</v>
      </c>
      <c r="G14" s="42" t="str">
        <f>A18</f>
        <v>NOOBEL</v>
      </c>
      <c r="H14" s="62">
        <f>SUM(H15:H17)</f>
        <v>413</v>
      </c>
      <c r="I14" s="45">
        <f>SUM(I15:I17)</f>
        <v>515</v>
      </c>
      <c r="J14" s="45">
        <f>I26</f>
        <v>478</v>
      </c>
      <c r="K14" s="42" t="str">
        <f>A26</f>
        <v>Wiru Auto</v>
      </c>
      <c r="L14" s="133">
        <f>SUM(L15:L17)</f>
        <v>465</v>
      </c>
      <c r="M14" s="69">
        <f>SUM(M15:M17)</f>
        <v>567</v>
      </c>
      <c r="N14" s="45">
        <f>M10</f>
        <v>602</v>
      </c>
      <c r="O14" s="42" t="str">
        <f>A10</f>
        <v>Isokuul</v>
      </c>
      <c r="P14" s="45">
        <f>SUM(P15:P17)</f>
        <v>435</v>
      </c>
      <c r="Q14" s="49">
        <f>SUM(Q15:Q17)</f>
        <v>537</v>
      </c>
      <c r="R14" s="45">
        <f>Q6</f>
        <v>525</v>
      </c>
      <c r="S14" s="42" t="str">
        <f>A6</f>
        <v>Fulltrade</v>
      </c>
      <c r="T14" s="133">
        <f>SUM(T15:T17)</f>
        <v>489</v>
      </c>
      <c r="U14" s="69">
        <f>SUM(U15:U17)</f>
        <v>591</v>
      </c>
      <c r="V14" s="45">
        <f>U22</f>
        <v>577</v>
      </c>
      <c r="W14" s="42" t="str">
        <f>A22</f>
        <v>VERX</v>
      </c>
      <c r="X14" s="36">
        <f t="shared" si="0"/>
        <v>2781</v>
      </c>
      <c r="Y14" s="105">
        <f>SUM(Y15:Y17)</f>
        <v>2271</v>
      </c>
      <c r="Z14" s="65">
        <f>AVERAGE(Z15,Z16,Z17)</f>
        <v>185.4</v>
      </c>
      <c r="AA14" s="142">
        <f>AVERAGE(AA15,AA16,AA17)</f>
        <v>151.4</v>
      </c>
      <c r="AB14" s="219">
        <f>F15+J15+N15+R15+V15</f>
        <v>4</v>
      </c>
    </row>
    <row r="15" spans="1:28" s="38" customFormat="1" ht="15.75" customHeight="1">
      <c r="A15" s="222" t="s">
        <v>246</v>
      </c>
      <c r="B15" s="223"/>
      <c r="C15" s="150">
        <v>21</v>
      </c>
      <c r="D15" s="59">
        <v>168</v>
      </c>
      <c r="E15" s="50">
        <f>D15+C15</f>
        <v>189</v>
      </c>
      <c r="F15" s="224">
        <v>1</v>
      </c>
      <c r="G15" s="225"/>
      <c r="H15" s="97">
        <v>126</v>
      </c>
      <c r="I15" s="46">
        <f>H15+C15</f>
        <v>147</v>
      </c>
      <c r="J15" s="224">
        <v>1</v>
      </c>
      <c r="K15" s="225"/>
      <c r="L15" s="97">
        <v>205</v>
      </c>
      <c r="M15" s="50">
        <f>L15+C15</f>
        <v>226</v>
      </c>
      <c r="N15" s="224">
        <v>0</v>
      </c>
      <c r="O15" s="225"/>
      <c r="P15" s="97">
        <v>149</v>
      </c>
      <c r="Q15" s="50">
        <f>P15+C15</f>
        <v>170</v>
      </c>
      <c r="R15" s="224">
        <v>1</v>
      </c>
      <c r="S15" s="225"/>
      <c r="T15" s="97">
        <v>172</v>
      </c>
      <c r="U15" s="50">
        <f>T15+C15</f>
        <v>193</v>
      </c>
      <c r="V15" s="224">
        <v>1</v>
      </c>
      <c r="W15" s="225"/>
      <c r="X15" s="46">
        <f t="shared" si="0"/>
        <v>925</v>
      </c>
      <c r="Y15" s="106">
        <f>D15+H15+L15+P15+T15</f>
        <v>820</v>
      </c>
      <c r="Z15" s="67">
        <f>AVERAGE(E15,I15,M15,Q15,U15)</f>
        <v>185</v>
      </c>
      <c r="AA15" s="143">
        <f>AVERAGE(E15,I15,M15,Q15,U15)-C15</f>
        <v>164</v>
      </c>
      <c r="AB15" s="220"/>
    </row>
    <row r="16" spans="1:28" s="38" customFormat="1" ht="15.75" customHeight="1">
      <c r="A16" s="222" t="s">
        <v>330</v>
      </c>
      <c r="B16" s="223"/>
      <c r="C16" s="150">
        <v>60</v>
      </c>
      <c r="D16" s="59">
        <v>164</v>
      </c>
      <c r="E16" s="50">
        <f>D16+C16</f>
        <v>224</v>
      </c>
      <c r="F16" s="226"/>
      <c r="G16" s="227"/>
      <c r="H16" s="98">
        <v>126</v>
      </c>
      <c r="I16" s="46">
        <f>H16+C16</f>
        <v>186</v>
      </c>
      <c r="J16" s="226"/>
      <c r="K16" s="227"/>
      <c r="L16" s="98">
        <v>115</v>
      </c>
      <c r="M16" s="50">
        <f>L16+C16</f>
        <v>175</v>
      </c>
      <c r="N16" s="226"/>
      <c r="O16" s="227"/>
      <c r="P16" s="98">
        <v>123</v>
      </c>
      <c r="Q16" s="50">
        <f>P16+C16</f>
        <v>183</v>
      </c>
      <c r="R16" s="226"/>
      <c r="S16" s="227"/>
      <c r="T16" s="98">
        <v>136</v>
      </c>
      <c r="U16" s="50">
        <f>T16+C16</f>
        <v>196</v>
      </c>
      <c r="V16" s="226"/>
      <c r="W16" s="227"/>
      <c r="X16" s="46">
        <f t="shared" si="0"/>
        <v>964</v>
      </c>
      <c r="Y16" s="106">
        <f>D16+H16+L16+P16+T16</f>
        <v>664</v>
      </c>
      <c r="Z16" s="67">
        <f>AVERAGE(E16,I16,M16,Q16,U16)</f>
        <v>192.8</v>
      </c>
      <c r="AA16" s="143">
        <f>AVERAGE(E16,I16,M16,Q16,U16)-C16</f>
        <v>132.8</v>
      </c>
      <c r="AB16" s="220"/>
    </row>
    <row r="17" spans="1:28" s="38" customFormat="1" ht="15.75" customHeight="1" thickBot="1">
      <c r="A17" s="229" t="s">
        <v>248</v>
      </c>
      <c r="B17" s="230"/>
      <c r="C17" s="151">
        <v>21</v>
      </c>
      <c r="D17" s="60">
        <v>137</v>
      </c>
      <c r="E17" s="50">
        <f>D17+C17</f>
        <v>158</v>
      </c>
      <c r="F17" s="204"/>
      <c r="G17" s="228"/>
      <c r="H17" s="99">
        <v>161</v>
      </c>
      <c r="I17" s="46">
        <f>H17+C17</f>
        <v>182</v>
      </c>
      <c r="J17" s="204"/>
      <c r="K17" s="228"/>
      <c r="L17" s="99">
        <v>145</v>
      </c>
      <c r="M17" s="50">
        <f>L17+C17</f>
        <v>166</v>
      </c>
      <c r="N17" s="204"/>
      <c r="O17" s="228"/>
      <c r="P17" s="99">
        <v>163</v>
      </c>
      <c r="Q17" s="50">
        <f>P17+C17</f>
        <v>184</v>
      </c>
      <c r="R17" s="204"/>
      <c r="S17" s="228"/>
      <c r="T17" s="99">
        <v>181</v>
      </c>
      <c r="U17" s="50">
        <f>T17+C17</f>
        <v>202</v>
      </c>
      <c r="V17" s="204"/>
      <c r="W17" s="228"/>
      <c r="X17" s="47">
        <f t="shared" si="0"/>
        <v>892</v>
      </c>
      <c r="Y17" s="107">
        <f>D17+H17+L17+P17+T17</f>
        <v>787</v>
      </c>
      <c r="Z17" s="68">
        <f>AVERAGE(E17,I17,M17,Q17,U17)</f>
        <v>178.4</v>
      </c>
      <c r="AA17" s="144">
        <f>AVERAGE(E17,I17,M17,Q17,U17)-C17</f>
        <v>157.4</v>
      </c>
      <c r="AB17" s="221"/>
    </row>
    <row r="18" spans="1:28" s="38" customFormat="1" ht="39" customHeight="1">
      <c r="A18" s="217" t="s">
        <v>197</v>
      </c>
      <c r="B18" s="218"/>
      <c r="C18" s="149">
        <f>SUM(C19:C21)</f>
        <v>63</v>
      </c>
      <c r="D18" s="62">
        <f>SUM(D19:D21)</f>
        <v>453</v>
      </c>
      <c r="E18" s="45">
        <f>SUM(E19:E21)</f>
        <v>516</v>
      </c>
      <c r="F18" s="45">
        <f>E14</f>
        <v>571</v>
      </c>
      <c r="G18" s="42" t="str">
        <f>A14</f>
        <v>Telfer Grupp</v>
      </c>
      <c r="H18" s="62">
        <f>SUM(H19:H21)</f>
        <v>551</v>
      </c>
      <c r="I18" s="45">
        <f>SUM(I19:I21)</f>
        <v>614</v>
      </c>
      <c r="J18" s="45">
        <f>I10</f>
        <v>578</v>
      </c>
      <c r="K18" s="42" t="str">
        <f>A10</f>
        <v>Isokuul</v>
      </c>
      <c r="L18" s="133">
        <f>SUM(L19:L21)</f>
        <v>517</v>
      </c>
      <c r="M18" s="49">
        <f>SUM(M19:M21)</f>
        <v>580</v>
      </c>
      <c r="N18" s="45">
        <f>M6</f>
        <v>536</v>
      </c>
      <c r="O18" s="42" t="str">
        <f>A6</f>
        <v>Fulltrade</v>
      </c>
      <c r="P18" s="45">
        <f>SUM(P19:P21)</f>
        <v>502</v>
      </c>
      <c r="Q18" s="49">
        <f>SUM(Q19:Q21)</f>
        <v>565</v>
      </c>
      <c r="R18" s="45">
        <f>Q22</f>
        <v>544</v>
      </c>
      <c r="S18" s="42" t="str">
        <f>A22</f>
        <v>VERX</v>
      </c>
      <c r="T18" s="133">
        <f>SUM(T19:T21)</f>
        <v>508</v>
      </c>
      <c r="U18" s="49">
        <f>SUM(U19:U21)</f>
        <v>571</v>
      </c>
      <c r="V18" s="45">
        <f>U26</f>
        <v>562</v>
      </c>
      <c r="W18" s="42" t="str">
        <f>A26</f>
        <v>Wiru Auto</v>
      </c>
      <c r="X18" s="36">
        <f t="shared" si="0"/>
        <v>2846</v>
      </c>
      <c r="Y18" s="105">
        <f>SUM(Y19:Y21)</f>
        <v>2531</v>
      </c>
      <c r="Z18" s="65">
        <f>AVERAGE(Z19,Z20,Z21)</f>
        <v>189.73333333333335</v>
      </c>
      <c r="AA18" s="142">
        <f>AVERAGE(AA19,AA20,AA21)</f>
        <v>168.73333333333335</v>
      </c>
      <c r="AB18" s="219">
        <f>F19+J19+N19+R19+V19</f>
        <v>4</v>
      </c>
    </row>
    <row r="19" spans="1:28" s="38" customFormat="1" ht="15.75" customHeight="1">
      <c r="A19" s="222" t="s">
        <v>203</v>
      </c>
      <c r="B19" s="223"/>
      <c r="C19" s="150">
        <v>23</v>
      </c>
      <c r="D19" s="59">
        <v>156</v>
      </c>
      <c r="E19" s="50">
        <f>D19+C19</f>
        <v>179</v>
      </c>
      <c r="F19" s="224">
        <v>0</v>
      </c>
      <c r="G19" s="225"/>
      <c r="H19" s="97">
        <v>149</v>
      </c>
      <c r="I19" s="46">
        <f>H19+C19</f>
        <v>172</v>
      </c>
      <c r="J19" s="224">
        <v>1</v>
      </c>
      <c r="K19" s="225"/>
      <c r="L19" s="97">
        <v>159</v>
      </c>
      <c r="M19" s="50">
        <f>L19+C19</f>
        <v>182</v>
      </c>
      <c r="N19" s="224">
        <v>1</v>
      </c>
      <c r="O19" s="225"/>
      <c r="P19" s="97">
        <v>181</v>
      </c>
      <c r="Q19" s="50">
        <f>P19+C19</f>
        <v>204</v>
      </c>
      <c r="R19" s="224">
        <v>1</v>
      </c>
      <c r="S19" s="225"/>
      <c r="T19" s="97">
        <v>156</v>
      </c>
      <c r="U19" s="50">
        <f>T19+C19</f>
        <v>179</v>
      </c>
      <c r="V19" s="224">
        <v>1</v>
      </c>
      <c r="W19" s="225"/>
      <c r="X19" s="46">
        <f t="shared" si="0"/>
        <v>916</v>
      </c>
      <c r="Y19" s="106">
        <f>D19+H19+L19+P19+T19</f>
        <v>801</v>
      </c>
      <c r="Z19" s="67">
        <f>AVERAGE(E19,I19,M19,Q19,U19)</f>
        <v>183.2</v>
      </c>
      <c r="AA19" s="143">
        <f>AVERAGE(E19,I19,M19,Q19,U19)-C19</f>
        <v>160.2</v>
      </c>
      <c r="AB19" s="220"/>
    </row>
    <row r="20" spans="1:28" s="38" customFormat="1" ht="15.75" customHeight="1">
      <c r="A20" s="222" t="s">
        <v>204</v>
      </c>
      <c r="B20" s="223"/>
      <c r="C20" s="150">
        <v>16</v>
      </c>
      <c r="D20" s="59">
        <v>171</v>
      </c>
      <c r="E20" s="50">
        <f>D20+C20</f>
        <v>187</v>
      </c>
      <c r="F20" s="226"/>
      <c r="G20" s="227"/>
      <c r="H20" s="98">
        <v>236</v>
      </c>
      <c r="I20" s="46">
        <f>H20+C20</f>
        <v>252</v>
      </c>
      <c r="J20" s="226"/>
      <c r="K20" s="227"/>
      <c r="L20" s="98">
        <v>173</v>
      </c>
      <c r="M20" s="50">
        <f>L20+C20</f>
        <v>189</v>
      </c>
      <c r="N20" s="226"/>
      <c r="O20" s="227"/>
      <c r="P20" s="98">
        <v>168</v>
      </c>
      <c r="Q20" s="50">
        <f>P20+C20</f>
        <v>184</v>
      </c>
      <c r="R20" s="226"/>
      <c r="S20" s="227"/>
      <c r="T20" s="98">
        <v>194</v>
      </c>
      <c r="U20" s="50">
        <f>T20+C20</f>
        <v>210</v>
      </c>
      <c r="V20" s="226"/>
      <c r="W20" s="227"/>
      <c r="X20" s="46">
        <f t="shared" si="0"/>
        <v>1022</v>
      </c>
      <c r="Y20" s="106">
        <f>D20+H20+L20+P20+T20</f>
        <v>942</v>
      </c>
      <c r="Z20" s="67">
        <f>AVERAGE(E20,I20,M20,Q20,U20)</f>
        <v>204.4</v>
      </c>
      <c r="AA20" s="143">
        <f>AVERAGE(E20,I20,M20,Q20,U20)-C20</f>
        <v>188.4</v>
      </c>
      <c r="AB20" s="220"/>
    </row>
    <row r="21" spans="1:29" s="38" customFormat="1" ht="15.75" customHeight="1" thickBot="1">
      <c r="A21" s="229" t="s">
        <v>205</v>
      </c>
      <c r="B21" s="230"/>
      <c r="C21" s="151">
        <v>24</v>
      </c>
      <c r="D21" s="60">
        <v>126</v>
      </c>
      <c r="E21" s="50">
        <f>D21+C21</f>
        <v>150</v>
      </c>
      <c r="F21" s="204"/>
      <c r="G21" s="228"/>
      <c r="H21" s="99">
        <v>166</v>
      </c>
      <c r="I21" s="46">
        <f>H21+C21</f>
        <v>190</v>
      </c>
      <c r="J21" s="204"/>
      <c r="K21" s="228"/>
      <c r="L21" s="99">
        <v>185</v>
      </c>
      <c r="M21" s="50">
        <f>L21+C21</f>
        <v>209</v>
      </c>
      <c r="N21" s="204"/>
      <c r="O21" s="228"/>
      <c r="P21" s="99">
        <v>153</v>
      </c>
      <c r="Q21" s="50">
        <f>P21+C21</f>
        <v>177</v>
      </c>
      <c r="R21" s="204"/>
      <c r="S21" s="228"/>
      <c r="T21" s="99">
        <v>158</v>
      </c>
      <c r="U21" s="50">
        <f>T21+C21</f>
        <v>182</v>
      </c>
      <c r="V21" s="204"/>
      <c r="W21" s="228"/>
      <c r="X21" s="47">
        <f t="shared" si="0"/>
        <v>908</v>
      </c>
      <c r="Y21" s="107">
        <f>D21+H21+L21+P21+T21</f>
        <v>788</v>
      </c>
      <c r="Z21" s="68">
        <f>AVERAGE(E21,I21,M21,Q21,U21)</f>
        <v>181.6</v>
      </c>
      <c r="AA21" s="144">
        <f>AVERAGE(E21,I21,M21,Q21,U21)-C21</f>
        <v>157.6</v>
      </c>
      <c r="AB21" s="221"/>
      <c r="AC21" s="44"/>
    </row>
    <row r="22" spans="1:28" s="38" customFormat="1" ht="53.25" customHeight="1">
      <c r="A22" s="217" t="s">
        <v>105</v>
      </c>
      <c r="B22" s="218"/>
      <c r="C22" s="149">
        <f>SUM(C23:C25)</f>
        <v>88</v>
      </c>
      <c r="D22" s="62">
        <f>SUM(D23:D25)</f>
        <v>521</v>
      </c>
      <c r="E22" s="45">
        <f>SUM(E23:E25)</f>
        <v>609</v>
      </c>
      <c r="F22" s="45">
        <f>E10</f>
        <v>594</v>
      </c>
      <c r="G22" s="42" t="str">
        <f>A10</f>
        <v>Isokuul</v>
      </c>
      <c r="H22" s="62">
        <f>SUM(H23:H25)</f>
        <v>448</v>
      </c>
      <c r="I22" s="45">
        <f>SUM(I23:I25)</f>
        <v>536</v>
      </c>
      <c r="J22" s="45">
        <f>I6</f>
        <v>522</v>
      </c>
      <c r="K22" s="42" t="str">
        <f>A6</f>
        <v>Fulltrade</v>
      </c>
      <c r="L22" s="133">
        <f>SUM(L23:L25)</f>
        <v>432</v>
      </c>
      <c r="M22" s="69">
        <f>SUM(M23:M25)</f>
        <v>520</v>
      </c>
      <c r="N22" s="45">
        <f>M26</f>
        <v>529</v>
      </c>
      <c r="O22" s="42" t="str">
        <f>A26</f>
        <v>Wiru Auto</v>
      </c>
      <c r="P22" s="45">
        <f>SUM(P23:P25)</f>
        <v>456</v>
      </c>
      <c r="Q22" s="69">
        <f>SUM(Q23:Q25)</f>
        <v>544</v>
      </c>
      <c r="R22" s="45">
        <f>Q18</f>
        <v>565</v>
      </c>
      <c r="S22" s="42" t="str">
        <f>A18</f>
        <v>NOOBEL</v>
      </c>
      <c r="T22" s="133">
        <f>SUM(T23:T25)</f>
        <v>489</v>
      </c>
      <c r="U22" s="69">
        <f>SUM(U23:U25)</f>
        <v>577</v>
      </c>
      <c r="V22" s="45">
        <f>U14</f>
        <v>591</v>
      </c>
      <c r="W22" s="42" t="str">
        <f>A14</f>
        <v>Telfer Grupp</v>
      </c>
      <c r="X22" s="36">
        <f t="shared" si="0"/>
        <v>2786</v>
      </c>
      <c r="Y22" s="105">
        <f>SUM(Y23:Y25)</f>
        <v>2346</v>
      </c>
      <c r="Z22" s="65">
        <f>AVERAGE(Z23,Z24,Z25)</f>
        <v>185.73333333333335</v>
      </c>
      <c r="AA22" s="142">
        <f>AVERAGE(AA23,AA24,AA25)</f>
        <v>156.4</v>
      </c>
      <c r="AB22" s="219">
        <f>F23+J23+N23+R23+V23</f>
        <v>2</v>
      </c>
    </row>
    <row r="23" spans="1:28" s="38" customFormat="1" ht="15.75" customHeight="1">
      <c r="A23" s="222" t="s">
        <v>112</v>
      </c>
      <c r="B23" s="223"/>
      <c r="C23" s="150">
        <v>29</v>
      </c>
      <c r="D23" s="59">
        <v>174</v>
      </c>
      <c r="E23" s="50">
        <f>D23+C23</f>
        <v>203</v>
      </c>
      <c r="F23" s="224">
        <v>1</v>
      </c>
      <c r="G23" s="225"/>
      <c r="H23" s="97">
        <v>152</v>
      </c>
      <c r="I23" s="46">
        <f>H23+C23</f>
        <v>181</v>
      </c>
      <c r="J23" s="224">
        <v>1</v>
      </c>
      <c r="K23" s="225"/>
      <c r="L23" s="97">
        <v>154</v>
      </c>
      <c r="M23" s="50">
        <f>L23+C23</f>
        <v>183</v>
      </c>
      <c r="N23" s="224">
        <v>0</v>
      </c>
      <c r="O23" s="225"/>
      <c r="P23" s="97">
        <v>142</v>
      </c>
      <c r="Q23" s="50">
        <f>P23+C23</f>
        <v>171</v>
      </c>
      <c r="R23" s="224">
        <v>0</v>
      </c>
      <c r="S23" s="225"/>
      <c r="T23" s="97">
        <v>165</v>
      </c>
      <c r="U23" s="50">
        <f>T23+C23</f>
        <v>194</v>
      </c>
      <c r="V23" s="224">
        <v>0</v>
      </c>
      <c r="W23" s="225"/>
      <c r="X23" s="46">
        <f t="shared" si="0"/>
        <v>932</v>
      </c>
      <c r="Y23" s="106">
        <f>D23+H23+L23+P23+T23</f>
        <v>787</v>
      </c>
      <c r="Z23" s="67">
        <f>AVERAGE(E23,I23,M23,Q23,U23)</f>
        <v>186.4</v>
      </c>
      <c r="AA23" s="143">
        <f>AVERAGE(E23,I23,M23,Q23,U23)-C23</f>
        <v>157.4</v>
      </c>
      <c r="AB23" s="220"/>
    </row>
    <row r="24" spans="1:28" s="38" customFormat="1" ht="15.75" customHeight="1">
      <c r="A24" s="222" t="s">
        <v>113</v>
      </c>
      <c r="B24" s="223"/>
      <c r="C24" s="150">
        <v>28</v>
      </c>
      <c r="D24" s="59">
        <v>168</v>
      </c>
      <c r="E24" s="50">
        <f>D24+C24</f>
        <v>196</v>
      </c>
      <c r="F24" s="226"/>
      <c r="G24" s="227"/>
      <c r="H24" s="98">
        <v>166</v>
      </c>
      <c r="I24" s="46">
        <f>H24+C24</f>
        <v>194</v>
      </c>
      <c r="J24" s="226"/>
      <c r="K24" s="227"/>
      <c r="L24" s="98">
        <v>162</v>
      </c>
      <c r="M24" s="50">
        <f>L24+C24</f>
        <v>190</v>
      </c>
      <c r="N24" s="226"/>
      <c r="O24" s="227"/>
      <c r="P24" s="98">
        <v>123</v>
      </c>
      <c r="Q24" s="50">
        <f>P24+C24</f>
        <v>151</v>
      </c>
      <c r="R24" s="226"/>
      <c r="S24" s="227"/>
      <c r="T24" s="98">
        <v>137</v>
      </c>
      <c r="U24" s="50">
        <f>T24+C24</f>
        <v>165</v>
      </c>
      <c r="V24" s="226"/>
      <c r="W24" s="227"/>
      <c r="X24" s="46">
        <f t="shared" si="0"/>
        <v>896</v>
      </c>
      <c r="Y24" s="106">
        <f>D24+H24+L24+P24+T24</f>
        <v>756</v>
      </c>
      <c r="Z24" s="67">
        <f>AVERAGE(E24,I24,M24,Q24,U24)</f>
        <v>179.2</v>
      </c>
      <c r="AA24" s="143">
        <f>AVERAGE(E24,I24,M24,Q24,U24)-C24</f>
        <v>151.2</v>
      </c>
      <c r="AB24" s="220"/>
    </row>
    <row r="25" spans="1:28" s="38" customFormat="1" ht="15.75" customHeight="1" thickBot="1">
      <c r="A25" s="229" t="s">
        <v>114</v>
      </c>
      <c r="B25" s="230"/>
      <c r="C25" s="151">
        <v>31</v>
      </c>
      <c r="D25" s="60">
        <v>179</v>
      </c>
      <c r="E25" s="50">
        <f>D25+C25</f>
        <v>210</v>
      </c>
      <c r="F25" s="204"/>
      <c r="G25" s="228"/>
      <c r="H25" s="99">
        <v>130</v>
      </c>
      <c r="I25" s="46">
        <f>H25+C25</f>
        <v>161</v>
      </c>
      <c r="J25" s="204"/>
      <c r="K25" s="228"/>
      <c r="L25" s="99">
        <v>116</v>
      </c>
      <c r="M25" s="50">
        <f>L25+C25</f>
        <v>147</v>
      </c>
      <c r="N25" s="204"/>
      <c r="O25" s="228"/>
      <c r="P25" s="99">
        <v>191</v>
      </c>
      <c r="Q25" s="50">
        <f>P25+C25</f>
        <v>222</v>
      </c>
      <c r="R25" s="204"/>
      <c r="S25" s="228"/>
      <c r="T25" s="99">
        <v>187</v>
      </c>
      <c r="U25" s="50">
        <f>T25+C25</f>
        <v>218</v>
      </c>
      <c r="V25" s="204"/>
      <c r="W25" s="228"/>
      <c r="X25" s="47">
        <f t="shared" si="0"/>
        <v>958</v>
      </c>
      <c r="Y25" s="107">
        <f>D25+H25+L25+P25+T25</f>
        <v>803</v>
      </c>
      <c r="Z25" s="68">
        <f>AVERAGE(E25,I25,M25,Q25,U25)</f>
        <v>191.6</v>
      </c>
      <c r="AA25" s="144">
        <f>AVERAGE(E25,I25,M25,Q25,U25)-C25</f>
        <v>160.6</v>
      </c>
      <c r="AB25" s="221"/>
    </row>
    <row r="26" spans="1:28" s="38" customFormat="1" ht="42" customHeight="1">
      <c r="A26" s="217" t="s">
        <v>162</v>
      </c>
      <c r="B26" s="218"/>
      <c r="C26" s="149">
        <f>SUM(C27:C29)</f>
        <v>135</v>
      </c>
      <c r="D26" s="62">
        <f>SUM(D27:D29)</f>
        <v>435</v>
      </c>
      <c r="E26" s="45">
        <f>SUM(E27:E29)</f>
        <v>570</v>
      </c>
      <c r="F26" s="45">
        <f>E6</f>
        <v>539</v>
      </c>
      <c r="G26" s="42" t="str">
        <f>A6</f>
        <v>Fulltrade</v>
      </c>
      <c r="H26" s="62">
        <f>SUM(H27:H29)</f>
        <v>343</v>
      </c>
      <c r="I26" s="45">
        <f>SUM(I27:I29)</f>
        <v>478</v>
      </c>
      <c r="J26" s="45">
        <f>I14</f>
        <v>515</v>
      </c>
      <c r="K26" s="42" t="str">
        <f>A14</f>
        <v>Telfer Grupp</v>
      </c>
      <c r="L26" s="133">
        <f>SUM(L27:L29)</f>
        <v>394</v>
      </c>
      <c r="M26" s="49">
        <f>SUM(M27:M29)</f>
        <v>529</v>
      </c>
      <c r="N26" s="45">
        <f>M22</f>
        <v>520</v>
      </c>
      <c r="O26" s="42" t="str">
        <f>A22</f>
        <v>VERX</v>
      </c>
      <c r="P26" s="45">
        <f>SUM(P27:P29)</f>
        <v>347</v>
      </c>
      <c r="Q26" s="49">
        <f>SUM(Q27:Q29)</f>
        <v>482</v>
      </c>
      <c r="R26" s="45">
        <f>Q10</f>
        <v>628</v>
      </c>
      <c r="S26" s="42" t="str">
        <f>A10</f>
        <v>Isokuul</v>
      </c>
      <c r="T26" s="133">
        <f>SUM(T27:T29)</f>
        <v>427</v>
      </c>
      <c r="U26" s="49">
        <f>SUM(U27:U29)</f>
        <v>562</v>
      </c>
      <c r="V26" s="45">
        <f>U18</f>
        <v>571</v>
      </c>
      <c r="W26" s="42" t="str">
        <f>A18</f>
        <v>NOOBEL</v>
      </c>
      <c r="X26" s="36">
        <f t="shared" si="0"/>
        <v>2621</v>
      </c>
      <c r="Y26" s="105">
        <f>SUM(Y27:Y29)</f>
        <v>1946</v>
      </c>
      <c r="Z26" s="65">
        <f>AVERAGE(Z27,Z28,Z29)</f>
        <v>174.73333333333335</v>
      </c>
      <c r="AA26" s="142">
        <f>AVERAGE(AA27,AA28,AA29)</f>
        <v>129.73333333333332</v>
      </c>
      <c r="AB26" s="219">
        <f>F27+J27+N27+R27+V27</f>
        <v>2</v>
      </c>
    </row>
    <row r="27" spans="1:28" s="38" customFormat="1" ht="15.75" customHeight="1">
      <c r="A27" s="222" t="s">
        <v>153</v>
      </c>
      <c r="B27" s="223"/>
      <c r="C27" s="150">
        <v>39</v>
      </c>
      <c r="D27" s="59">
        <v>146</v>
      </c>
      <c r="E27" s="50">
        <f>D27+C27</f>
        <v>185</v>
      </c>
      <c r="F27" s="224">
        <v>1</v>
      </c>
      <c r="G27" s="225"/>
      <c r="H27" s="97">
        <v>121</v>
      </c>
      <c r="I27" s="46">
        <f>H27+C27</f>
        <v>160</v>
      </c>
      <c r="J27" s="224">
        <v>0</v>
      </c>
      <c r="K27" s="225"/>
      <c r="L27" s="97">
        <v>143</v>
      </c>
      <c r="M27" s="50">
        <f>L27+C27</f>
        <v>182</v>
      </c>
      <c r="N27" s="224">
        <v>1</v>
      </c>
      <c r="O27" s="225"/>
      <c r="P27" s="97">
        <v>123</v>
      </c>
      <c r="Q27" s="50">
        <f>P27+C27</f>
        <v>162</v>
      </c>
      <c r="R27" s="224">
        <v>0</v>
      </c>
      <c r="S27" s="225"/>
      <c r="T27" s="97">
        <v>157</v>
      </c>
      <c r="U27" s="50">
        <f>T27+C27</f>
        <v>196</v>
      </c>
      <c r="V27" s="224">
        <v>0</v>
      </c>
      <c r="W27" s="225"/>
      <c r="X27" s="46">
        <f t="shared" si="0"/>
        <v>885</v>
      </c>
      <c r="Y27" s="106">
        <f>D27+H27+L27+P27+T27</f>
        <v>690</v>
      </c>
      <c r="Z27" s="67">
        <f>AVERAGE(E27,I27,M27,Q27,U27)</f>
        <v>177</v>
      </c>
      <c r="AA27" s="143">
        <f>AVERAGE(E27,I27,M27,Q27,U27)-C27</f>
        <v>138</v>
      </c>
      <c r="AB27" s="220"/>
    </row>
    <row r="28" spans="1:28" s="38" customFormat="1" ht="15.75" customHeight="1">
      <c r="A28" s="222" t="s">
        <v>154</v>
      </c>
      <c r="B28" s="223"/>
      <c r="C28" s="150">
        <v>53</v>
      </c>
      <c r="D28" s="59">
        <v>129</v>
      </c>
      <c r="E28" s="50">
        <f>D28+C28</f>
        <v>182</v>
      </c>
      <c r="F28" s="226"/>
      <c r="G28" s="227"/>
      <c r="H28" s="98">
        <v>104</v>
      </c>
      <c r="I28" s="46">
        <f>H28+C28</f>
        <v>157</v>
      </c>
      <c r="J28" s="226"/>
      <c r="K28" s="227"/>
      <c r="L28" s="98">
        <v>111</v>
      </c>
      <c r="M28" s="50">
        <f>L28+C28</f>
        <v>164</v>
      </c>
      <c r="N28" s="226"/>
      <c r="O28" s="227"/>
      <c r="P28" s="98">
        <v>109</v>
      </c>
      <c r="Q28" s="50">
        <f>P28+C28</f>
        <v>162</v>
      </c>
      <c r="R28" s="226"/>
      <c r="S28" s="227"/>
      <c r="T28" s="98">
        <v>112</v>
      </c>
      <c r="U28" s="50">
        <f>T28+C28</f>
        <v>165</v>
      </c>
      <c r="V28" s="226"/>
      <c r="W28" s="227"/>
      <c r="X28" s="46">
        <f t="shared" si="0"/>
        <v>830</v>
      </c>
      <c r="Y28" s="106">
        <f>D28+H28+L28+P28+T28</f>
        <v>565</v>
      </c>
      <c r="Z28" s="67">
        <f>AVERAGE(E28,I28,M28,Q28,U28)</f>
        <v>166</v>
      </c>
      <c r="AA28" s="143">
        <f>AVERAGE(E28,I28,M28,Q28,U28)-C28</f>
        <v>113</v>
      </c>
      <c r="AB28" s="220"/>
    </row>
    <row r="29" spans="1:28" s="38" customFormat="1" ht="15.75" customHeight="1" thickBot="1">
      <c r="A29" s="229" t="s">
        <v>155</v>
      </c>
      <c r="B29" s="230"/>
      <c r="C29" s="151">
        <v>43</v>
      </c>
      <c r="D29" s="60">
        <v>160</v>
      </c>
      <c r="E29" s="50">
        <f>D29+C29</f>
        <v>203</v>
      </c>
      <c r="F29" s="204"/>
      <c r="G29" s="228"/>
      <c r="H29" s="99">
        <v>118</v>
      </c>
      <c r="I29" s="46">
        <f>H29+C29</f>
        <v>161</v>
      </c>
      <c r="J29" s="204"/>
      <c r="K29" s="228"/>
      <c r="L29" s="99">
        <v>140</v>
      </c>
      <c r="M29" s="50">
        <f>L29+C29</f>
        <v>183</v>
      </c>
      <c r="N29" s="204"/>
      <c r="O29" s="228"/>
      <c r="P29" s="99">
        <v>115</v>
      </c>
      <c r="Q29" s="50">
        <f>P29+C29</f>
        <v>158</v>
      </c>
      <c r="R29" s="204"/>
      <c r="S29" s="228"/>
      <c r="T29" s="99">
        <v>158</v>
      </c>
      <c r="U29" s="50">
        <f>T29+C29</f>
        <v>201</v>
      </c>
      <c r="V29" s="204"/>
      <c r="W29" s="228"/>
      <c r="X29" s="47">
        <f t="shared" si="0"/>
        <v>906</v>
      </c>
      <c r="Y29" s="107">
        <f>D29+H29+L29+P29+T29</f>
        <v>691</v>
      </c>
      <c r="Z29" s="68">
        <f>AVERAGE(E29,I29,M29,Q29,U29)</f>
        <v>181.2</v>
      </c>
      <c r="AA29" s="144">
        <f>AVERAGE(E29,I29,M29,Q29,U29)-C29</f>
        <v>138.2</v>
      </c>
      <c r="AB29" s="221"/>
    </row>
    <row r="30" spans="1:28" s="40" customFormat="1" ht="15.75" customHeight="1">
      <c r="A30" s="207" t="s">
        <v>335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4"/>
      <c r="W30" s="25"/>
      <c r="Y30" s="57"/>
      <c r="Z30" s="41"/>
      <c r="AA30" s="139"/>
      <c r="AB30" s="25"/>
    </row>
    <row r="31" spans="1:28" s="40" customFormat="1" ht="6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4"/>
      <c r="W31" s="25"/>
      <c r="Y31" s="57"/>
      <c r="Z31" s="41"/>
      <c r="AA31" s="139"/>
      <c r="AB31" s="25"/>
    </row>
    <row r="32" spans="1:28" s="40" customFormat="1" ht="23.2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5"/>
      <c r="W32" s="25"/>
      <c r="Y32" s="57"/>
      <c r="Z32" s="41"/>
      <c r="AA32" s="139"/>
      <c r="AB32" s="25"/>
    </row>
    <row r="33" spans="1:28" s="31" customFormat="1" ht="15.75" customHeight="1">
      <c r="A33" s="209" t="s">
        <v>0</v>
      </c>
      <c r="B33" s="210"/>
      <c r="C33" s="147" t="s">
        <v>39</v>
      </c>
      <c r="D33" s="55"/>
      <c r="E33" s="27" t="s">
        <v>1</v>
      </c>
      <c r="F33" s="211" t="s">
        <v>2</v>
      </c>
      <c r="G33" s="212"/>
      <c r="H33" s="94"/>
      <c r="I33" s="27" t="s">
        <v>3</v>
      </c>
      <c r="J33" s="211" t="s">
        <v>2</v>
      </c>
      <c r="K33" s="212"/>
      <c r="L33" s="94"/>
      <c r="M33" s="27" t="s">
        <v>4</v>
      </c>
      <c r="N33" s="211" t="s">
        <v>2</v>
      </c>
      <c r="O33" s="212"/>
      <c r="P33" s="94"/>
      <c r="Q33" s="27" t="s">
        <v>5</v>
      </c>
      <c r="R33" s="211" t="s">
        <v>2</v>
      </c>
      <c r="S33" s="212"/>
      <c r="T33" s="94"/>
      <c r="U33" s="27" t="s">
        <v>6</v>
      </c>
      <c r="V33" s="211" t="s">
        <v>2</v>
      </c>
      <c r="W33" s="212"/>
      <c r="X33" s="28" t="s">
        <v>7</v>
      </c>
      <c r="Y33" s="104"/>
      <c r="Z33" s="29" t="s">
        <v>40</v>
      </c>
      <c r="AA33" s="140" t="s">
        <v>42</v>
      </c>
      <c r="AB33" s="30" t="s">
        <v>7</v>
      </c>
    </row>
    <row r="34" spans="1:28" s="31" customFormat="1" ht="15.75" customHeight="1" thickBot="1">
      <c r="A34" s="213" t="s">
        <v>9</v>
      </c>
      <c r="B34" s="214"/>
      <c r="C34" s="148"/>
      <c r="D34" s="56"/>
      <c r="E34" s="32" t="s">
        <v>10</v>
      </c>
      <c r="F34" s="211" t="s">
        <v>11</v>
      </c>
      <c r="G34" s="212"/>
      <c r="H34" s="95"/>
      <c r="I34" s="32" t="s">
        <v>10</v>
      </c>
      <c r="J34" s="215" t="s">
        <v>11</v>
      </c>
      <c r="K34" s="216"/>
      <c r="L34" s="95"/>
      <c r="M34" s="32" t="s">
        <v>10</v>
      </c>
      <c r="N34" s="215" t="s">
        <v>11</v>
      </c>
      <c r="O34" s="216"/>
      <c r="P34" s="95"/>
      <c r="Q34" s="32" t="s">
        <v>10</v>
      </c>
      <c r="R34" s="215" t="s">
        <v>11</v>
      </c>
      <c r="S34" s="216"/>
      <c r="T34" s="95"/>
      <c r="U34" s="32" t="s">
        <v>10</v>
      </c>
      <c r="V34" s="215" t="s">
        <v>11</v>
      </c>
      <c r="W34" s="216"/>
      <c r="X34" s="33" t="s">
        <v>10</v>
      </c>
      <c r="Y34" s="134" t="s">
        <v>287</v>
      </c>
      <c r="Z34" s="34" t="s">
        <v>41</v>
      </c>
      <c r="AA34" s="141" t="s">
        <v>43</v>
      </c>
      <c r="AB34" s="35" t="s">
        <v>12</v>
      </c>
    </row>
    <row r="35" spans="1:28" s="38" customFormat="1" ht="42" customHeight="1">
      <c r="A35" s="217" t="s">
        <v>79</v>
      </c>
      <c r="B35" s="218"/>
      <c r="C35" s="149">
        <f>SUM(C36:C38)</f>
        <v>99</v>
      </c>
      <c r="D35" s="62">
        <f>SUM(D36:D38)</f>
        <v>500</v>
      </c>
      <c r="E35" s="63">
        <f>SUM(E36:E38)</f>
        <v>599</v>
      </c>
      <c r="F35" s="46">
        <f>E55</f>
        <v>514</v>
      </c>
      <c r="G35" s="64" t="str">
        <f>A55</f>
        <v>LAJOS 1</v>
      </c>
      <c r="H35" s="62">
        <f>SUM(H36:H38)</f>
        <v>491</v>
      </c>
      <c r="I35" s="49">
        <f>SUM(I36:I38)</f>
        <v>590</v>
      </c>
      <c r="J35" s="49">
        <f>I51</f>
        <v>558</v>
      </c>
      <c r="K35" s="42" t="str">
        <f>A51</f>
        <v>AVR Projekt</v>
      </c>
      <c r="L35" s="58">
        <f>SUM(L36:L38)</f>
        <v>475</v>
      </c>
      <c r="M35" s="45">
        <f>SUM(M36:M38)</f>
        <v>574</v>
      </c>
      <c r="N35" s="45">
        <f>M47</f>
        <v>583</v>
      </c>
      <c r="O35" s="42" t="str">
        <f>A47</f>
        <v>KUNDA TRANS</v>
      </c>
      <c r="P35" s="45">
        <f>SUM(P36:P38)</f>
        <v>485</v>
      </c>
      <c r="Q35" s="45">
        <f>SUM(Q36:Q38)</f>
        <v>584</v>
      </c>
      <c r="R35" s="45">
        <f>Q43</f>
        <v>553</v>
      </c>
      <c r="S35" s="42" t="str">
        <f>A43</f>
        <v>LATER</v>
      </c>
      <c r="T35" s="133">
        <f>SUM(T36:T38)</f>
        <v>520</v>
      </c>
      <c r="U35" s="45">
        <f>SUM(U36:U38)</f>
        <v>619</v>
      </c>
      <c r="V35" s="45">
        <f>U39</f>
        <v>535</v>
      </c>
      <c r="W35" s="42" t="str">
        <f>A39</f>
        <v>Latestoil</v>
      </c>
      <c r="X35" s="36">
        <f aca="true" t="shared" si="1" ref="X35:X58">E35+I35+M35+Q35+U35</f>
        <v>2966</v>
      </c>
      <c r="Y35" s="105">
        <f>SUM(Y36:Y38)</f>
        <v>2471</v>
      </c>
      <c r="Z35" s="37">
        <f>AVERAGE(Z36,Z37,Z38)</f>
        <v>197.73333333333335</v>
      </c>
      <c r="AA35" s="142">
        <f>AVERAGE(AA36,AA37,AA38)</f>
        <v>164.73333333333332</v>
      </c>
      <c r="AB35" s="219">
        <f>F36+J36+N36+R36+V36</f>
        <v>4</v>
      </c>
    </row>
    <row r="36" spans="1:28" s="38" customFormat="1" ht="15.75" customHeight="1">
      <c r="A36" s="222" t="s">
        <v>87</v>
      </c>
      <c r="B36" s="223"/>
      <c r="C36" s="150">
        <v>22</v>
      </c>
      <c r="D36" s="59">
        <v>148</v>
      </c>
      <c r="E36" s="50">
        <f>D36+C36</f>
        <v>170</v>
      </c>
      <c r="F36" s="224">
        <v>1</v>
      </c>
      <c r="G36" s="225"/>
      <c r="H36" s="97">
        <v>179</v>
      </c>
      <c r="I36" s="46">
        <f>H36+C36</f>
        <v>201</v>
      </c>
      <c r="J36" s="224">
        <v>1</v>
      </c>
      <c r="K36" s="225"/>
      <c r="L36" s="97">
        <v>155</v>
      </c>
      <c r="M36" s="50">
        <f>L36+C36</f>
        <v>177</v>
      </c>
      <c r="N36" s="224">
        <v>0</v>
      </c>
      <c r="O36" s="225"/>
      <c r="P36" s="97">
        <v>160</v>
      </c>
      <c r="Q36" s="50">
        <f>P36+C36</f>
        <v>182</v>
      </c>
      <c r="R36" s="224">
        <v>1</v>
      </c>
      <c r="S36" s="225"/>
      <c r="T36" s="97">
        <v>157</v>
      </c>
      <c r="U36" s="50">
        <f>C36+T36</f>
        <v>179</v>
      </c>
      <c r="V36" s="224">
        <v>1</v>
      </c>
      <c r="W36" s="225"/>
      <c r="X36" s="46">
        <f t="shared" si="1"/>
        <v>909</v>
      </c>
      <c r="Y36" s="106">
        <f>D36+H36+L36+P36+T36</f>
        <v>799</v>
      </c>
      <c r="Z36" s="67">
        <f>AVERAGE(E36,I36,M36,Q36,U36)</f>
        <v>181.8</v>
      </c>
      <c r="AA36" s="143">
        <f>AVERAGE(E36,I36,M36,Q36,U36)-C36</f>
        <v>159.8</v>
      </c>
      <c r="AB36" s="220"/>
    </row>
    <row r="37" spans="1:28" s="38" customFormat="1" ht="15.75" customHeight="1">
      <c r="A37" s="222" t="s">
        <v>340</v>
      </c>
      <c r="B37" s="223"/>
      <c r="C37" s="150">
        <v>60</v>
      </c>
      <c r="D37" s="59">
        <v>193</v>
      </c>
      <c r="E37" s="50">
        <f>D37+C37</f>
        <v>253</v>
      </c>
      <c r="F37" s="226"/>
      <c r="G37" s="227"/>
      <c r="H37" s="98">
        <v>134</v>
      </c>
      <c r="I37" s="46">
        <f>H37+C37</f>
        <v>194</v>
      </c>
      <c r="J37" s="226"/>
      <c r="K37" s="227"/>
      <c r="L37" s="98">
        <v>151</v>
      </c>
      <c r="M37" s="50">
        <f>L37+C37</f>
        <v>211</v>
      </c>
      <c r="N37" s="226"/>
      <c r="O37" s="227"/>
      <c r="P37" s="98">
        <v>138</v>
      </c>
      <c r="Q37" s="50">
        <f>P37+C37</f>
        <v>198</v>
      </c>
      <c r="R37" s="226"/>
      <c r="S37" s="227"/>
      <c r="T37" s="98">
        <v>192</v>
      </c>
      <c r="U37" s="50">
        <f>C37+T37</f>
        <v>252</v>
      </c>
      <c r="V37" s="226"/>
      <c r="W37" s="227"/>
      <c r="X37" s="46">
        <f t="shared" si="1"/>
        <v>1108</v>
      </c>
      <c r="Y37" s="106">
        <f>D37+H37+L37+P37+T37</f>
        <v>808</v>
      </c>
      <c r="Z37" s="67">
        <f>AVERAGE(E37,I37,M37,Q37,U37)</f>
        <v>221.6</v>
      </c>
      <c r="AA37" s="143">
        <f>AVERAGE(E37,I37,M37,Q37,U37)-C37</f>
        <v>161.6</v>
      </c>
      <c r="AB37" s="220"/>
    </row>
    <row r="38" spans="1:28" s="38" customFormat="1" ht="16.5" customHeight="1" thickBot="1">
      <c r="A38" s="229" t="s">
        <v>89</v>
      </c>
      <c r="B38" s="230"/>
      <c r="C38" s="151">
        <v>17</v>
      </c>
      <c r="D38" s="60">
        <v>159</v>
      </c>
      <c r="E38" s="50">
        <f>D38+C38</f>
        <v>176</v>
      </c>
      <c r="F38" s="204"/>
      <c r="G38" s="228"/>
      <c r="H38" s="99">
        <v>178</v>
      </c>
      <c r="I38" s="46">
        <f>H38+C38</f>
        <v>195</v>
      </c>
      <c r="J38" s="204"/>
      <c r="K38" s="228"/>
      <c r="L38" s="99">
        <v>169</v>
      </c>
      <c r="M38" s="50">
        <f>L38+C38</f>
        <v>186</v>
      </c>
      <c r="N38" s="204"/>
      <c r="O38" s="228"/>
      <c r="P38" s="99">
        <v>187</v>
      </c>
      <c r="Q38" s="50">
        <f>P38+C38</f>
        <v>204</v>
      </c>
      <c r="R38" s="204"/>
      <c r="S38" s="228"/>
      <c r="T38" s="99">
        <v>171</v>
      </c>
      <c r="U38" s="50">
        <f>C38+T38</f>
        <v>188</v>
      </c>
      <c r="V38" s="204"/>
      <c r="W38" s="228"/>
      <c r="X38" s="47">
        <f t="shared" si="1"/>
        <v>949</v>
      </c>
      <c r="Y38" s="107">
        <f>D38+H38+L38+P38+T38</f>
        <v>864</v>
      </c>
      <c r="Z38" s="68">
        <f>AVERAGE(E38,I38,M38,Q38,U38)</f>
        <v>189.8</v>
      </c>
      <c r="AA38" s="144">
        <f>AVERAGE(E38,I38,M38,Q38,U38)-C38</f>
        <v>172.8</v>
      </c>
      <c r="AB38" s="221"/>
    </row>
    <row r="39" spans="1:28" s="38" customFormat="1" ht="42" customHeight="1">
      <c r="A39" s="217" t="s">
        <v>69</v>
      </c>
      <c r="B39" s="218"/>
      <c r="C39" s="149">
        <f>SUM(C40:C42)</f>
        <v>46</v>
      </c>
      <c r="D39" s="62">
        <f>SUM(D40:D42)</f>
        <v>437</v>
      </c>
      <c r="E39" s="45">
        <f>SUM(E40:E42)</f>
        <v>483</v>
      </c>
      <c r="F39" s="45">
        <f>E51</f>
        <v>598</v>
      </c>
      <c r="G39" s="42" t="str">
        <f>A51</f>
        <v>AVR Projekt</v>
      </c>
      <c r="H39" s="62">
        <f>SUM(H40:H42)</f>
        <v>471</v>
      </c>
      <c r="I39" s="45">
        <f>SUM(I40:I42)</f>
        <v>517</v>
      </c>
      <c r="J39" s="45">
        <f>I47</f>
        <v>523</v>
      </c>
      <c r="K39" s="42" t="str">
        <f>A47</f>
        <v>KUNDA TRANS</v>
      </c>
      <c r="L39" s="133">
        <f>SUM(L40:L42)</f>
        <v>485</v>
      </c>
      <c r="M39" s="49">
        <f>SUM(M40:M42)</f>
        <v>531</v>
      </c>
      <c r="N39" s="45">
        <f>M43</f>
        <v>527</v>
      </c>
      <c r="O39" s="42" t="str">
        <f>A43</f>
        <v>LATER</v>
      </c>
      <c r="P39" s="45">
        <f>SUM(P40:P42)</f>
        <v>473</v>
      </c>
      <c r="Q39" s="49">
        <f>SUM(Q40:Q42)</f>
        <v>519</v>
      </c>
      <c r="R39" s="45">
        <f>Q55</f>
        <v>596</v>
      </c>
      <c r="S39" s="42" t="str">
        <f>A55</f>
        <v>LAJOS 1</v>
      </c>
      <c r="T39" s="133">
        <f>SUM(T40:T42)</f>
        <v>489</v>
      </c>
      <c r="U39" s="49">
        <f>SUM(U40:U42)</f>
        <v>535</v>
      </c>
      <c r="V39" s="45">
        <f>U35</f>
        <v>619</v>
      </c>
      <c r="W39" s="42" t="str">
        <f>A35</f>
        <v>Meistrid&amp; Margarita</v>
      </c>
      <c r="X39" s="36">
        <f t="shared" si="1"/>
        <v>2585</v>
      </c>
      <c r="Y39" s="105">
        <f>SUM(Y40:Y42)</f>
        <v>2355</v>
      </c>
      <c r="Z39" s="65">
        <f>AVERAGE(Z40,Z41,Z42)</f>
        <v>172.33333333333334</v>
      </c>
      <c r="AA39" s="142">
        <f>AVERAGE(AA40,AA41,AA42)</f>
        <v>157</v>
      </c>
      <c r="AB39" s="219">
        <f>F40+J40+N40+R40+V40</f>
        <v>1</v>
      </c>
    </row>
    <row r="40" spans="1:28" s="38" customFormat="1" ht="15.75" customHeight="1">
      <c r="A40" s="222" t="s">
        <v>27</v>
      </c>
      <c r="B40" s="223"/>
      <c r="C40" s="150">
        <v>19</v>
      </c>
      <c r="D40" s="59">
        <v>106</v>
      </c>
      <c r="E40" s="50">
        <f>D40+C40</f>
        <v>125</v>
      </c>
      <c r="F40" s="224">
        <v>0</v>
      </c>
      <c r="G40" s="225"/>
      <c r="H40" s="97">
        <v>168</v>
      </c>
      <c r="I40" s="46">
        <f>H40+C40</f>
        <v>187</v>
      </c>
      <c r="J40" s="224">
        <v>0</v>
      </c>
      <c r="K40" s="225"/>
      <c r="L40" s="97">
        <v>158</v>
      </c>
      <c r="M40" s="50">
        <f>L40+C40</f>
        <v>177</v>
      </c>
      <c r="N40" s="224">
        <v>1</v>
      </c>
      <c r="O40" s="225"/>
      <c r="P40" s="97">
        <v>142</v>
      </c>
      <c r="Q40" s="50">
        <f>P40+C40</f>
        <v>161</v>
      </c>
      <c r="R40" s="224">
        <v>0</v>
      </c>
      <c r="S40" s="225"/>
      <c r="T40" s="97">
        <v>187</v>
      </c>
      <c r="U40" s="50">
        <f>C40+T40</f>
        <v>206</v>
      </c>
      <c r="V40" s="224">
        <v>0</v>
      </c>
      <c r="W40" s="225"/>
      <c r="X40" s="46">
        <f t="shared" si="1"/>
        <v>856</v>
      </c>
      <c r="Y40" s="106">
        <f>D40+H40+L40+P40+T40</f>
        <v>761</v>
      </c>
      <c r="Z40" s="67">
        <f>AVERAGE(E40,I40,M40,Q40,U40)</f>
        <v>171.2</v>
      </c>
      <c r="AA40" s="143">
        <f>AVERAGE(E40,I40,M40,Q40,U40)-C40</f>
        <v>152.2</v>
      </c>
      <c r="AB40" s="220"/>
    </row>
    <row r="41" spans="1:28" s="38" customFormat="1" ht="15.75" customHeight="1">
      <c r="A41" s="222" t="s">
        <v>29</v>
      </c>
      <c r="B41" s="223"/>
      <c r="C41" s="150">
        <v>22</v>
      </c>
      <c r="D41" s="59">
        <v>162</v>
      </c>
      <c r="E41" s="50">
        <f>D41+C41</f>
        <v>184</v>
      </c>
      <c r="F41" s="226"/>
      <c r="G41" s="227"/>
      <c r="H41" s="98">
        <v>141</v>
      </c>
      <c r="I41" s="46">
        <f>H41+C41</f>
        <v>163</v>
      </c>
      <c r="J41" s="226"/>
      <c r="K41" s="227"/>
      <c r="L41" s="98">
        <v>134</v>
      </c>
      <c r="M41" s="50">
        <f>L41+C41</f>
        <v>156</v>
      </c>
      <c r="N41" s="226"/>
      <c r="O41" s="227"/>
      <c r="P41" s="98">
        <v>147</v>
      </c>
      <c r="Q41" s="50">
        <f>P41+C41</f>
        <v>169</v>
      </c>
      <c r="R41" s="226"/>
      <c r="S41" s="227"/>
      <c r="T41" s="98">
        <v>181</v>
      </c>
      <c r="U41" s="50">
        <f>C41+T41</f>
        <v>203</v>
      </c>
      <c r="V41" s="226"/>
      <c r="W41" s="227"/>
      <c r="X41" s="46">
        <f t="shared" si="1"/>
        <v>875</v>
      </c>
      <c r="Y41" s="106">
        <f>D41+H41+L41+P41+T41</f>
        <v>765</v>
      </c>
      <c r="Z41" s="67">
        <f>AVERAGE(E41,I41,M41,Q41,U41)</f>
        <v>175</v>
      </c>
      <c r="AA41" s="143">
        <f>AVERAGE(E41,I41,M41,Q41,U41)-C41</f>
        <v>153</v>
      </c>
      <c r="AB41" s="220"/>
    </row>
    <row r="42" spans="1:28" s="38" customFormat="1" ht="15.75" customHeight="1" thickBot="1">
      <c r="A42" s="229" t="s">
        <v>26</v>
      </c>
      <c r="B42" s="230"/>
      <c r="C42" s="151">
        <v>5</v>
      </c>
      <c r="D42" s="60">
        <v>169</v>
      </c>
      <c r="E42" s="50">
        <f>D42+C42</f>
        <v>174</v>
      </c>
      <c r="F42" s="204"/>
      <c r="G42" s="228"/>
      <c r="H42" s="99">
        <v>162</v>
      </c>
      <c r="I42" s="46">
        <f>H42+C42</f>
        <v>167</v>
      </c>
      <c r="J42" s="204"/>
      <c r="K42" s="228"/>
      <c r="L42" s="99">
        <v>193</v>
      </c>
      <c r="M42" s="50">
        <f>L42+C42</f>
        <v>198</v>
      </c>
      <c r="N42" s="204"/>
      <c r="O42" s="228"/>
      <c r="P42" s="99">
        <v>184</v>
      </c>
      <c r="Q42" s="50">
        <f>P42+C42</f>
        <v>189</v>
      </c>
      <c r="R42" s="204"/>
      <c r="S42" s="228"/>
      <c r="T42" s="99">
        <v>121</v>
      </c>
      <c r="U42" s="50">
        <f>C42+T42</f>
        <v>126</v>
      </c>
      <c r="V42" s="204"/>
      <c r="W42" s="228"/>
      <c r="X42" s="47">
        <f t="shared" si="1"/>
        <v>854</v>
      </c>
      <c r="Y42" s="107">
        <f>D42+H42+L42+P42+T42</f>
        <v>829</v>
      </c>
      <c r="Z42" s="68">
        <f>AVERAGE(E42,I42,M42,Q42,U42)</f>
        <v>170.8</v>
      </c>
      <c r="AA42" s="144">
        <f>AVERAGE(E42,I42,M42,Q42,U42)-C42</f>
        <v>165.8</v>
      </c>
      <c r="AB42" s="221"/>
    </row>
    <row r="43" spans="1:28" s="38" customFormat="1" ht="42" customHeight="1">
      <c r="A43" s="217" t="s">
        <v>75</v>
      </c>
      <c r="B43" s="218"/>
      <c r="C43" s="149">
        <f>SUM(C44:C46)</f>
        <v>96</v>
      </c>
      <c r="D43" s="62">
        <f>SUM(D44:D46)</f>
        <v>406</v>
      </c>
      <c r="E43" s="45">
        <f>SUM(E44:E46)</f>
        <v>502</v>
      </c>
      <c r="F43" s="45">
        <f>E47</f>
        <v>567</v>
      </c>
      <c r="G43" s="42" t="str">
        <f>A47</f>
        <v>KUNDA TRANS</v>
      </c>
      <c r="H43" s="62">
        <f>SUM(H44:H46)</f>
        <v>477</v>
      </c>
      <c r="I43" s="45">
        <f>SUM(I44:I46)</f>
        <v>573</v>
      </c>
      <c r="J43" s="45">
        <f>I55</f>
        <v>530</v>
      </c>
      <c r="K43" s="42" t="str">
        <f>A55</f>
        <v>LAJOS 1</v>
      </c>
      <c r="L43" s="133">
        <f>SUM(L44:L46)</f>
        <v>431</v>
      </c>
      <c r="M43" s="69">
        <f>SUM(M44:M46)</f>
        <v>527</v>
      </c>
      <c r="N43" s="45">
        <f>M39</f>
        <v>531</v>
      </c>
      <c r="O43" s="42" t="str">
        <f>A39</f>
        <v>Latestoil</v>
      </c>
      <c r="P43" s="45">
        <f>SUM(P44:P46)</f>
        <v>457</v>
      </c>
      <c r="Q43" s="49">
        <f>SUM(Q44:Q46)</f>
        <v>553</v>
      </c>
      <c r="R43" s="45">
        <f>Q35</f>
        <v>584</v>
      </c>
      <c r="S43" s="42" t="str">
        <f>A35</f>
        <v>Meistrid&amp; Margarita</v>
      </c>
      <c r="T43" s="133">
        <f>SUM(T44:T46)</f>
        <v>469</v>
      </c>
      <c r="U43" s="69">
        <f>SUM(U44:U46)</f>
        <v>565</v>
      </c>
      <c r="V43" s="45">
        <f>U51</f>
        <v>538</v>
      </c>
      <c r="W43" s="42" t="str">
        <f>A51</f>
        <v>AVR Projekt</v>
      </c>
      <c r="X43" s="36">
        <f t="shared" si="1"/>
        <v>2720</v>
      </c>
      <c r="Y43" s="105">
        <f>SUM(Y44:Y46)</f>
        <v>2240</v>
      </c>
      <c r="Z43" s="65">
        <f>AVERAGE(Z44,Z45,Z46)</f>
        <v>181.33333333333334</v>
      </c>
      <c r="AA43" s="142">
        <f>AVERAGE(AA44,AA45,AA46)</f>
        <v>149.33333333333334</v>
      </c>
      <c r="AB43" s="219">
        <f>F44+J44+N44+R44+V44</f>
        <v>2</v>
      </c>
    </row>
    <row r="44" spans="1:28" s="38" customFormat="1" ht="15.75" customHeight="1">
      <c r="A44" s="222" t="s">
        <v>84</v>
      </c>
      <c r="B44" s="223"/>
      <c r="C44" s="150">
        <v>30</v>
      </c>
      <c r="D44" s="59">
        <v>140</v>
      </c>
      <c r="E44" s="50">
        <f>D44+C44</f>
        <v>170</v>
      </c>
      <c r="F44" s="224">
        <v>0</v>
      </c>
      <c r="G44" s="225"/>
      <c r="H44" s="97">
        <v>148</v>
      </c>
      <c r="I44" s="46">
        <f>H44+C44</f>
        <v>178</v>
      </c>
      <c r="J44" s="224">
        <v>1</v>
      </c>
      <c r="K44" s="225"/>
      <c r="L44" s="97">
        <v>155</v>
      </c>
      <c r="M44" s="50">
        <f>L44+C44</f>
        <v>185</v>
      </c>
      <c r="N44" s="224">
        <v>0</v>
      </c>
      <c r="O44" s="225"/>
      <c r="P44" s="97">
        <v>132</v>
      </c>
      <c r="Q44" s="50">
        <f>P44+C44</f>
        <v>162</v>
      </c>
      <c r="R44" s="224">
        <v>0</v>
      </c>
      <c r="S44" s="225"/>
      <c r="T44" s="97">
        <v>163</v>
      </c>
      <c r="U44" s="50">
        <f>C44+T44</f>
        <v>193</v>
      </c>
      <c r="V44" s="224">
        <v>1</v>
      </c>
      <c r="W44" s="225"/>
      <c r="X44" s="46">
        <f t="shared" si="1"/>
        <v>888</v>
      </c>
      <c r="Y44" s="106">
        <f>D44+H44+L44+P44+T44</f>
        <v>738</v>
      </c>
      <c r="Z44" s="67">
        <f>AVERAGE(E44,I44,M44,Q44,U44)</f>
        <v>177.6</v>
      </c>
      <c r="AA44" s="143">
        <f>AVERAGE(E44,I44,M44,Q44,U44)-C44</f>
        <v>147.6</v>
      </c>
      <c r="AB44" s="220"/>
    </row>
    <row r="45" spans="1:28" s="38" customFormat="1" ht="15.75" customHeight="1">
      <c r="A45" s="222" t="s">
        <v>85</v>
      </c>
      <c r="B45" s="223"/>
      <c r="C45" s="150">
        <v>40</v>
      </c>
      <c r="D45" s="59">
        <v>116</v>
      </c>
      <c r="E45" s="50">
        <f>D45+C45</f>
        <v>156</v>
      </c>
      <c r="F45" s="226"/>
      <c r="G45" s="227"/>
      <c r="H45" s="98">
        <v>162</v>
      </c>
      <c r="I45" s="46">
        <f>H45+C45</f>
        <v>202</v>
      </c>
      <c r="J45" s="226"/>
      <c r="K45" s="227"/>
      <c r="L45" s="98">
        <v>132</v>
      </c>
      <c r="M45" s="50">
        <f>L45+C45</f>
        <v>172</v>
      </c>
      <c r="N45" s="226"/>
      <c r="O45" s="227"/>
      <c r="P45" s="98">
        <v>168</v>
      </c>
      <c r="Q45" s="50">
        <f>P45+C45</f>
        <v>208</v>
      </c>
      <c r="R45" s="226"/>
      <c r="S45" s="227"/>
      <c r="T45" s="98">
        <v>142</v>
      </c>
      <c r="U45" s="50">
        <f>C45+T45</f>
        <v>182</v>
      </c>
      <c r="V45" s="226"/>
      <c r="W45" s="227"/>
      <c r="X45" s="46">
        <f t="shared" si="1"/>
        <v>920</v>
      </c>
      <c r="Y45" s="106">
        <f>D45+H45+L45+P45+T45</f>
        <v>720</v>
      </c>
      <c r="Z45" s="67">
        <f>AVERAGE(E45,I45,M45,Q45,U45)</f>
        <v>184</v>
      </c>
      <c r="AA45" s="143">
        <f>AVERAGE(E45,I45,M45,Q45,U45)-C45</f>
        <v>144</v>
      </c>
      <c r="AB45" s="220"/>
    </row>
    <row r="46" spans="1:28" s="38" customFormat="1" ht="15.75" customHeight="1" thickBot="1">
      <c r="A46" s="229" t="s">
        <v>86</v>
      </c>
      <c r="B46" s="230"/>
      <c r="C46" s="151">
        <v>26</v>
      </c>
      <c r="D46" s="60">
        <v>150</v>
      </c>
      <c r="E46" s="50">
        <f>D46+C46</f>
        <v>176</v>
      </c>
      <c r="F46" s="204"/>
      <c r="G46" s="228"/>
      <c r="H46" s="99">
        <v>167</v>
      </c>
      <c r="I46" s="46">
        <f>H46+C46</f>
        <v>193</v>
      </c>
      <c r="J46" s="204"/>
      <c r="K46" s="228"/>
      <c r="L46" s="99">
        <v>144</v>
      </c>
      <c r="M46" s="50">
        <f>L46+C46</f>
        <v>170</v>
      </c>
      <c r="N46" s="204"/>
      <c r="O46" s="228"/>
      <c r="P46" s="99">
        <v>157</v>
      </c>
      <c r="Q46" s="50">
        <f>P46+C46</f>
        <v>183</v>
      </c>
      <c r="R46" s="204"/>
      <c r="S46" s="228"/>
      <c r="T46" s="99">
        <v>164</v>
      </c>
      <c r="U46" s="50">
        <f>C46+T46</f>
        <v>190</v>
      </c>
      <c r="V46" s="204"/>
      <c r="W46" s="228"/>
      <c r="X46" s="47">
        <f t="shared" si="1"/>
        <v>912</v>
      </c>
      <c r="Y46" s="107">
        <f>D46+H46+L46+P46+T46</f>
        <v>782</v>
      </c>
      <c r="Z46" s="68">
        <f>AVERAGE(E46,I46,M46,Q46,U46)</f>
        <v>182.4</v>
      </c>
      <c r="AA46" s="144">
        <f>AVERAGE(E46,I46,M46,Q46,U46)-C46</f>
        <v>156.4</v>
      </c>
      <c r="AB46" s="221"/>
    </row>
    <row r="47" spans="1:28" s="38" customFormat="1" ht="42" customHeight="1">
      <c r="A47" s="217" t="s">
        <v>200</v>
      </c>
      <c r="B47" s="218"/>
      <c r="C47" s="149">
        <f>SUM(C48:C50)</f>
        <v>100</v>
      </c>
      <c r="D47" s="62">
        <f>SUM(D48:D50)</f>
        <v>467</v>
      </c>
      <c r="E47" s="45">
        <f>SUM(E48:E50)</f>
        <v>567</v>
      </c>
      <c r="F47" s="45">
        <f>E43</f>
        <v>502</v>
      </c>
      <c r="G47" s="42" t="str">
        <f>A43</f>
        <v>LATER</v>
      </c>
      <c r="H47" s="62">
        <f>SUM(H48:H50)</f>
        <v>423</v>
      </c>
      <c r="I47" s="45">
        <f>SUM(I48:I50)</f>
        <v>523</v>
      </c>
      <c r="J47" s="45">
        <f>I39</f>
        <v>517</v>
      </c>
      <c r="K47" s="42" t="str">
        <f>A39</f>
        <v>Latestoil</v>
      </c>
      <c r="L47" s="133">
        <f>SUM(L48:L50)</f>
        <v>483</v>
      </c>
      <c r="M47" s="49">
        <f>SUM(M48:M50)</f>
        <v>583</v>
      </c>
      <c r="N47" s="45">
        <f>M35</f>
        <v>574</v>
      </c>
      <c r="O47" s="42" t="str">
        <f>A35</f>
        <v>Meistrid&amp; Margarita</v>
      </c>
      <c r="P47" s="45">
        <f>SUM(P48:P50)</f>
        <v>471</v>
      </c>
      <c r="Q47" s="49">
        <f>SUM(Q48:Q50)</f>
        <v>571</v>
      </c>
      <c r="R47" s="45">
        <f>Q51</f>
        <v>536</v>
      </c>
      <c r="S47" s="42" t="str">
        <f>A51</f>
        <v>AVR Projekt</v>
      </c>
      <c r="T47" s="133">
        <f>SUM(T48:T50)</f>
        <v>421</v>
      </c>
      <c r="U47" s="49">
        <f>SUM(U48:U50)</f>
        <v>521</v>
      </c>
      <c r="V47" s="45">
        <f>U55</f>
        <v>532</v>
      </c>
      <c r="W47" s="42" t="str">
        <f>A55</f>
        <v>LAJOS 1</v>
      </c>
      <c r="X47" s="36">
        <f t="shared" si="1"/>
        <v>2765</v>
      </c>
      <c r="Y47" s="105">
        <f>SUM(Y48:Y50)</f>
        <v>2265</v>
      </c>
      <c r="Z47" s="65">
        <f>AVERAGE(Z48,Z49,Z50)</f>
        <v>184.33333333333334</v>
      </c>
      <c r="AA47" s="142">
        <f>AVERAGE(AA48,AA49,AA50)</f>
        <v>151</v>
      </c>
      <c r="AB47" s="219">
        <f>F48+J48+N48+R48+V48</f>
        <v>4</v>
      </c>
    </row>
    <row r="48" spans="1:28" s="38" customFormat="1" ht="15.75" customHeight="1">
      <c r="A48" s="222" t="s">
        <v>215</v>
      </c>
      <c r="B48" s="223"/>
      <c r="C48" s="150">
        <v>11</v>
      </c>
      <c r="D48" s="59">
        <v>159</v>
      </c>
      <c r="E48" s="50">
        <f>D48+C48</f>
        <v>170</v>
      </c>
      <c r="F48" s="224">
        <v>1</v>
      </c>
      <c r="G48" s="225"/>
      <c r="H48" s="97">
        <v>168</v>
      </c>
      <c r="I48" s="46">
        <f>H48+C48</f>
        <v>179</v>
      </c>
      <c r="J48" s="224">
        <v>1</v>
      </c>
      <c r="K48" s="225"/>
      <c r="L48" s="97">
        <v>191</v>
      </c>
      <c r="M48" s="50">
        <f>L48+C48</f>
        <v>202</v>
      </c>
      <c r="N48" s="224">
        <v>1</v>
      </c>
      <c r="O48" s="225"/>
      <c r="P48" s="97">
        <v>178</v>
      </c>
      <c r="Q48" s="50">
        <f>P48+C48</f>
        <v>189</v>
      </c>
      <c r="R48" s="224">
        <v>1</v>
      </c>
      <c r="S48" s="225"/>
      <c r="T48" s="97">
        <v>137</v>
      </c>
      <c r="U48" s="50">
        <f>C48+T48</f>
        <v>148</v>
      </c>
      <c r="V48" s="224">
        <v>0</v>
      </c>
      <c r="W48" s="225"/>
      <c r="X48" s="46">
        <f t="shared" si="1"/>
        <v>888</v>
      </c>
      <c r="Y48" s="106">
        <f>D48+H48+L48+P48+T48</f>
        <v>833</v>
      </c>
      <c r="Z48" s="67">
        <f>AVERAGE(E48,I48,M48,Q48,U48)</f>
        <v>177.6</v>
      </c>
      <c r="AA48" s="143">
        <f>AVERAGE(E48,I48,M48,Q48,U48)-C48</f>
        <v>166.6</v>
      </c>
      <c r="AB48" s="220"/>
    </row>
    <row r="49" spans="1:28" s="38" customFormat="1" ht="15.75" customHeight="1">
      <c r="A49" s="222" t="s">
        <v>216</v>
      </c>
      <c r="B49" s="223"/>
      <c r="C49" s="150">
        <v>29</v>
      </c>
      <c r="D49" s="59">
        <v>163</v>
      </c>
      <c r="E49" s="50">
        <f>D49+C49</f>
        <v>192</v>
      </c>
      <c r="F49" s="226"/>
      <c r="G49" s="227"/>
      <c r="H49" s="98">
        <v>102</v>
      </c>
      <c r="I49" s="46">
        <f>H49+C49</f>
        <v>131</v>
      </c>
      <c r="J49" s="226"/>
      <c r="K49" s="227"/>
      <c r="L49" s="98">
        <v>153</v>
      </c>
      <c r="M49" s="50">
        <f>L49+C49</f>
        <v>182</v>
      </c>
      <c r="N49" s="226"/>
      <c r="O49" s="227"/>
      <c r="P49" s="98">
        <v>144</v>
      </c>
      <c r="Q49" s="50">
        <f>P49+C49</f>
        <v>173</v>
      </c>
      <c r="R49" s="226"/>
      <c r="S49" s="227"/>
      <c r="T49" s="98">
        <v>138</v>
      </c>
      <c r="U49" s="50">
        <f>C49+T49</f>
        <v>167</v>
      </c>
      <c r="V49" s="226"/>
      <c r="W49" s="227"/>
      <c r="X49" s="46">
        <f t="shared" si="1"/>
        <v>845</v>
      </c>
      <c r="Y49" s="106">
        <f>D49+H49+L49+P49+T49</f>
        <v>700</v>
      </c>
      <c r="Z49" s="67">
        <f>AVERAGE(E49,I49,M49,Q49,U49)</f>
        <v>169</v>
      </c>
      <c r="AA49" s="143">
        <f>AVERAGE(E49,I49,M49,Q49,U49)-C49</f>
        <v>140</v>
      </c>
      <c r="AB49" s="220"/>
    </row>
    <row r="50" spans="1:29" s="38" customFormat="1" ht="15.75" customHeight="1" thickBot="1">
      <c r="A50" s="229" t="s">
        <v>341</v>
      </c>
      <c r="B50" s="230"/>
      <c r="C50" s="151">
        <v>60</v>
      </c>
      <c r="D50" s="60">
        <v>145</v>
      </c>
      <c r="E50" s="50">
        <f>D50+C50</f>
        <v>205</v>
      </c>
      <c r="F50" s="204"/>
      <c r="G50" s="228"/>
      <c r="H50" s="99">
        <v>153</v>
      </c>
      <c r="I50" s="46">
        <f>H50+C50</f>
        <v>213</v>
      </c>
      <c r="J50" s="204"/>
      <c r="K50" s="228"/>
      <c r="L50" s="99">
        <v>139</v>
      </c>
      <c r="M50" s="50">
        <f>L50+C50</f>
        <v>199</v>
      </c>
      <c r="N50" s="204"/>
      <c r="O50" s="228"/>
      <c r="P50" s="99">
        <v>149</v>
      </c>
      <c r="Q50" s="50">
        <f>P50+C50</f>
        <v>209</v>
      </c>
      <c r="R50" s="204"/>
      <c r="S50" s="228"/>
      <c r="T50" s="99">
        <v>146</v>
      </c>
      <c r="U50" s="50">
        <f>C50+T50</f>
        <v>206</v>
      </c>
      <c r="V50" s="204"/>
      <c r="W50" s="228"/>
      <c r="X50" s="47">
        <f t="shared" si="1"/>
        <v>1032</v>
      </c>
      <c r="Y50" s="107">
        <f>D50+H50+L50+P50+T50</f>
        <v>732</v>
      </c>
      <c r="Z50" s="68">
        <f>AVERAGE(E50,I50,M50,Q50,U50)</f>
        <v>206.4</v>
      </c>
      <c r="AA50" s="144">
        <f>AVERAGE(E50,I50,M50,Q50,U50)-C50</f>
        <v>146.4</v>
      </c>
      <c r="AB50" s="221"/>
      <c r="AC50" s="44"/>
    </row>
    <row r="51" spans="1:28" s="38" customFormat="1" ht="42" customHeight="1">
      <c r="A51" s="217" t="s">
        <v>163</v>
      </c>
      <c r="B51" s="218"/>
      <c r="C51" s="149">
        <f>SUM(C52:C54)</f>
        <v>170</v>
      </c>
      <c r="D51" s="62">
        <f>SUM(D52:D54)</f>
        <v>428</v>
      </c>
      <c r="E51" s="45">
        <f>SUM(E52:E54)</f>
        <v>598</v>
      </c>
      <c r="F51" s="45">
        <f>E39</f>
        <v>483</v>
      </c>
      <c r="G51" s="42" t="str">
        <f>A39</f>
        <v>Latestoil</v>
      </c>
      <c r="H51" s="62">
        <f>SUM(H52:H54)</f>
        <v>388</v>
      </c>
      <c r="I51" s="45">
        <f>SUM(I52:I54)</f>
        <v>558</v>
      </c>
      <c r="J51" s="45">
        <f>I35</f>
        <v>590</v>
      </c>
      <c r="K51" s="42" t="str">
        <f>A35</f>
        <v>Meistrid&amp; Margarita</v>
      </c>
      <c r="L51" s="133">
        <f>SUM(L52:L54)</f>
        <v>351</v>
      </c>
      <c r="M51" s="69">
        <f>SUM(M52:M54)</f>
        <v>521</v>
      </c>
      <c r="N51" s="45">
        <f>M55</f>
        <v>601</v>
      </c>
      <c r="O51" s="42" t="str">
        <f>A55</f>
        <v>LAJOS 1</v>
      </c>
      <c r="P51" s="45">
        <f>SUM(P52:P54)</f>
        <v>366</v>
      </c>
      <c r="Q51" s="69">
        <f>SUM(Q52:Q54)</f>
        <v>536</v>
      </c>
      <c r="R51" s="45">
        <f>Q47</f>
        <v>571</v>
      </c>
      <c r="S51" s="42" t="str">
        <f>A47</f>
        <v>KUNDA TRANS</v>
      </c>
      <c r="T51" s="133">
        <f>SUM(T52:T54)</f>
        <v>368</v>
      </c>
      <c r="U51" s="69">
        <f>SUM(U52:U54)</f>
        <v>538</v>
      </c>
      <c r="V51" s="45">
        <f>U43</f>
        <v>565</v>
      </c>
      <c r="W51" s="42" t="str">
        <f>A43</f>
        <v>LATER</v>
      </c>
      <c r="X51" s="36">
        <f t="shared" si="1"/>
        <v>2751</v>
      </c>
      <c r="Y51" s="105">
        <f>SUM(Y52:Y54)</f>
        <v>1901</v>
      </c>
      <c r="Z51" s="65">
        <f>AVERAGE(Z52,Z53,Z54)</f>
        <v>183.4</v>
      </c>
      <c r="AA51" s="142">
        <f>AVERAGE(AA52,AA53,AA54)</f>
        <v>126.73333333333335</v>
      </c>
      <c r="AB51" s="219">
        <f>F52+J52+N52+R52+V52</f>
        <v>1</v>
      </c>
    </row>
    <row r="52" spans="1:28" s="38" customFormat="1" ht="15.75" customHeight="1">
      <c r="A52" s="222" t="s">
        <v>342</v>
      </c>
      <c r="B52" s="223"/>
      <c r="C52" s="150">
        <v>60</v>
      </c>
      <c r="D52" s="59">
        <v>120</v>
      </c>
      <c r="E52" s="50">
        <f>D52+C52</f>
        <v>180</v>
      </c>
      <c r="F52" s="224">
        <v>1</v>
      </c>
      <c r="G52" s="225"/>
      <c r="H52" s="97">
        <v>117</v>
      </c>
      <c r="I52" s="46">
        <f>H52+C52</f>
        <v>177</v>
      </c>
      <c r="J52" s="224">
        <v>0</v>
      </c>
      <c r="K52" s="225"/>
      <c r="L52" s="97">
        <v>96</v>
      </c>
      <c r="M52" s="50">
        <f>L52+C52</f>
        <v>156</v>
      </c>
      <c r="N52" s="224">
        <v>0</v>
      </c>
      <c r="O52" s="225"/>
      <c r="P52" s="97">
        <v>98</v>
      </c>
      <c r="Q52" s="50">
        <f>P52+C52</f>
        <v>158</v>
      </c>
      <c r="R52" s="224">
        <v>0</v>
      </c>
      <c r="S52" s="225"/>
      <c r="T52" s="97">
        <v>83</v>
      </c>
      <c r="U52" s="50">
        <f>C52+T52</f>
        <v>143</v>
      </c>
      <c r="V52" s="224">
        <v>0</v>
      </c>
      <c r="W52" s="225"/>
      <c r="X52" s="46">
        <f t="shared" si="1"/>
        <v>814</v>
      </c>
      <c r="Y52" s="106">
        <f>D52+H52+L52+P52+T52</f>
        <v>514</v>
      </c>
      <c r="Z52" s="67">
        <f>AVERAGE(E52,I52,M52,Q52,U52)</f>
        <v>162.8</v>
      </c>
      <c r="AA52" s="143">
        <f>AVERAGE(E52,I52,M52,Q52,U52)-C52</f>
        <v>102.80000000000001</v>
      </c>
      <c r="AB52" s="220"/>
    </row>
    <row r="53" spans="1:28" s="38" customFormat="1" ht="15.75" customHeight="1">
      <c r="A53" s="222" t="s">
        <v>157</v>
      </c>
      <c r="B53" s="223"/>
      <c r="C53" s="150">
        <v>53</v>
      </c>
      <c r="D53" s="59">
        <v>138</v>
      </c>
      <c r="E53" s="50">
        <f>D53+C53</f>
        <v>191</v>
      </c>
      <c r="F53" s="226"/>
      <c r="G53" s="227"/>
      <c r="H53" s="98">
        <v>146</v>
      </c>
      <c r="I53" s="46">
        <f>H53+C53</f>
        <v>199</v>
      </c>
      <c r="J53" s="226"/>
      <c r="K53" s="227"/>
      <c r="L53" s="98">
        <v>120</v>
      </c>
      <c r="M53" s="50">
        <f>L53+C53</f>
        <v>173</v>
      </c>
      <c r="N53" s="226"/>
      <c r="O53" s="227"/>
      <c r="P53" s="98">
        <v>127</v>
      </c>
      <c r="Q53" s="50">
        <f>P53+C53</f>
        <v>180</v>
      </c>
      <c r="R53" s="226"/>
      <c r="S53" s="227"/>
      <c r="T53" s="98">
        <v>142</v>
      </c>
      <c r="U53" s="50">
        <f>C53+T53</f>
        <v>195</v>
      </c>
      <c r="V53" s="226"/>
      <c r="W53" s="227"/>
      <c r="X53" s="46">
        <f t="shared" si="1"/>
        <v>938</v>
      </c>
      <c r="Y53" s="106">
        <f>D53+H53+L53+P53+T53</f>
        <v>673</v>
      </c>
      <c r="Z53" s="67">
        <f>AVERAGE(E53,I53,M53,Q53,U53)</f>
        <v>187.6</v>
      </c>
      <c r="AA53" s="143">
        <f>AVERAGE(E53,I53,M53,Q53,U53)-C53</f>
        <v>134.6</v>
      </c>
      <c r="AB53" s="220"/>
    </row>
    <row r="54" spans="1:28" s="38" customFormat="1" ht="15.75" customHeight="1" thickBot="1">
      <c r="A54" s="229" t="s">
        <v>158</v>
      </c>
      <c r="B54" s="230"/>
      <c r="C54" s="151">
        <v>57</v>
      </c>
      <c r="D54" s="60">
        <v>170</v>
      </c>
      <c r="E54" s="50">
        <f>D54+C54</f>
        <v>227</v>
      </c>
      <c r="F54" s="204"/>
      <c r="G54" s="228"/>
      <c r="H54" s="99">
        <v>125</v>
      </c>
      <c r="I54" s="46">
        <f>H54+C54</f>
        <v>182</v>
      </c>
      <c r="J54" s="204"/>
      <c r="K54" s="228"/>
      <c r="L54" s="99">
        <v>135</v>
      </c>
      <c r="M54" s="50">
        <f>L54+C54</f>
        <v>192</v>
      </c>
      <c r="N54" s="204"/>
      <c r="O54" s="228"/>
      <c r="P54" s="99">
        <v>141</v>
      </c>
      <c r="Q54" s="50">
        <f>P54+C54</f>
        <v>198</v>
      </c>
      <c r="R54" s="204"/>
      <c r="S54" s="228"/>
      <c r="T54" s="99">
        <v>143</v>
      </c>
      <c r="U54" s="50">
        <f>C54+T54</f>
        <v>200</v>
      </c>
      <c r="V54" s="204"/>
      <c r="W54" s="228"/>
      <c r="X54" s="47">
        <f t="shared" si="1"/>
        <v>999</v>
      </c>
      <c r="Y54" s="107">
        <f>D54+H54+L54+P54+T54</f>
        <v>714</v>
      </c>
      <c r="Z54" s="68">
        <f>AVERAGE(E54,I54,M54,Q54,U54)</f>
        <v>199.8</v>
      </c>
      <c r="AA54" s="144">
        <f>AVERAGE(E54,I54,M54,Q54,U54)-C54</f>
        <v>142.8</v>
      </c>
      <c r="AB54" s="221"/>
    </row>
    <row r="55" spans="1:28" s="38" customFormat="1" ht="42" customHeight="1">
      <c r="A55" s="217" t="s">
        <v>14</v>
      </c>
      <c r="B55" s="218"/>
      <c r="C55" s="149">
        <f>SUM(C56:C58)</f>
        <v>158</v>
      </c>
      <c r="D55" s="62">
        <f>SUM(D56:D58)</f>
        <v>356</v>
      </c>
      <c r="E55" s="45">
        <f>SUM(E56:E58)</f>
        <v>514</v>
      </c>
      <c r="F55" s="45">
        <f>E35</f>
        <v>599</v>
      </c>
      <c r="G55" s="42" t="str">
        <f>A35</f>
        <v>Meistrid&amp; Margarita</v>
      </c>
      <c r="H55" s="62">
        <f>SUM(H56:H58)</f>
        <v>372</v>
      </c>
      <c r="I55" s="45">
        <f>SUM(I56:I58)</f>
        <v>530</v>
      </c>
      <c r="J55" s="45">
        <f>I43</f>
        <v>573</v>
      </c>
      <c r="K55" s="42" t="str">
        <f>A43</f>
        <v>LATER</v>
      </c>
      <c r="L55" s="133">
        <f>SUM(L56:L58)</f>
        <v>443</v>
      </c>
      <c r="M55" s="49">
        <f>SUM(M56:M58)</f>
        <v>601</v>
      </c>
      <c r="N55" s="45">
        <f>M51</f>
        <v>521</v>
      </c>
      <c r="O55" s="42" t="str">
        <f>A51</f>
        <v>AVR Projekt</v>
      </c>
      <c r="P55" s="45">
        <f>SUM(P56:P58)</f>
        <v>438</v>
      </c>
      <c r="Q55" s="49">
        <f>SUM(Q56:Q58)</f>
        <v>596</v>
      </c>
      <c r="R55" s="45">
        <f>Q39</f>
        <v>519</v>
      </c>
      <c r="S55" s="42" t="str">
        <f>A39</f>
        <v>Latestoil</v>
      </c>
      <c r="T55" s="133">
        <f>SUM(T56:T58)</f>
        <v>374</v>
      </c>
      <c r="U55" s="49">
        <f>SUM(U56:U58)</f>
        <v>532</v>
      </c>
      <c r="V55" s="45">
        <f>U47</f>
        <v>521</v>
      </c>
      <c r="W55" s="42" t="str">
        <f>A47</f>
        <v>KUNDA TRANS</v>
      </c>
      <c r="X55" s="36">
        <f t="shared" si="1"/>
        <v>2773</v>
      </c>
      <c r="Y55" s="105">
        <f>SUM(Y56:Y58)</f>
        <v>1983</v>
      </c>
      <c r="Z55" s="65">
        <f>AVERAGE(Z56,Z57,Z58)</f>
        <v>184.86666666666667</v>
      </c>
      <c r="AA55" s="142">
        <f>AVERAGE(AA56,AA57,AA58)</f>
        <v>132.20000000000002</v>
      </c>
      <c r="AB55" s="219">
        <f>F56+J56+N56+R56+V56</f>
        <v>3</v>
      </c>
    </row>
    <row r="56" spans="1:28" s="38" customFormat="1" ht="15.75" customHeight="1">
      <c r="A56" s="222" t="s">
        <v>55</v>
      </c>
      <c r="B56" s="223"/>
      <c r="C56" s="150">
        <v>53</v>
      </c>
      <c r="D56" s="59">
        <v>95</v>
      </c>
      <c r="E56" s="50">
        <f>D56+C56</f>
        <v>148</v>
      </c>
      <c r="F56" s="224">
        <v>0</v>
      </c>
      <c r="G56" s="225"/>
      <c r="H56" s="97">
        <v>137</v>
      </c>
      <c r="I56" s="46">
        <f>H56+C56</f>
        <v>190</v>
      </c>
      <c r="J56" s="224">
        <v>0</v>
      </c>
      <c r="K56" s="225"/>
      <c r="L56" s="97">
        <v>156</v>
      </c>
      <c r="M56" s="50">
        <f>L56+C56</f>
        <v>209</v>
      </c>
      <c r="N56" s="224">
        <v>1</v>
      </c>
      <c r="O56" s="225"/>
      <c r="P56" s="97">
        <v>179</v>
      </c>
      <c r="Q56" s="50">
        <f>P56+C56</f>
        <v>232</v>
      </c>
      <c r="R56" s="224">
        <v>1</v>
      </c>
      <c r="S56" s="225"/>
      <c r="T56" s="97">
        <v>126</v>
      </c>
      <c r="U56" s="50">
        <f>C56+T56</f>
        <v>179</v>
      </c>
      <c r="V56" s="224">
        <v>1</v>
      </c>
      <c r="W56" s="225"/>
      <c r="X56" s="46">
        <f t="shared" si="1"/>
        <v>958</v>
      </c>
      <c r="Y56" s="106">
        <f>D56+H56+L56+P56+T56</f>
        <v>693</v>
      </c>
      <c r="Z56" s="67">
        <f>AVERAGE(E56,I56,M56,Q56,U56)</f>
        <v>191.6</v>
      </c>
      <c r="AA56" s="143">
        <f>AVERAGE(E56,I56,M56,Q56,U56)-C56</f>
        <v>138.6</v>
      </c>
      <c r="AB56" s="220"/>
    </row>
    <row r="57" spans="1:28" s="38" customFormat="1" ht="15.75" customHeight="1">
      <c r="A57" s="222" t="s">
        <v>53</v>
      </c>
      <c r="B57" s="223"/>
      <c r="C57" s="150">
        <v>60</v>
      </c>
      <c r="D57" s="59">
        <v>130</v>
      </c>
      <c r="E57" s="50">
        <f>D57+C57</f>
        <v>190</v>
      </c>
      <c r="F57" s="226"/>
      <c r="G57" s="227"/>
      <c r="H57" s="98">
        <v>103</v>
      </c>
      <c r="I57" s="46">
        <f>H57+C57</f>
        <v>163</v>
      </c>
      <c r="J57" s="226"/>
      <c r="K57" s="227"/>
      <c r="L57" s="98">
        <v>148</v>
      </c>
      <c r="M57" s="50">
        <f>L57+C57</f>
        <v>208</v>
      </c>
      <c r="N57" s="226"/>
      <c r="O57" s="227"/>
      <c r="P57" s="98">
        <v>115</v>
      </c>
      <c r="Q57" s="50">
        <f>P57+C57</f>
        <v>175</v>
      </c>
      <c r="R57" s="226"/>
      <c r="S57" s="227"/>
      <c r="T57" s="98">
        <v>102</v>
      </c>
      <c r="U57" s="50">
        <f>C57+T57</f>
        <v>162</v>
      </c>
      <c r="V57" s="226"/>
      <c r="W57" s="227"/>
      <c r="X57" s="46">
        <f t="shared" si="1"/>
        <v>898</v>
      </c>
      <c r="Y57" s="106">
        <f>D57+H57+L57+P57+T57</f>
        <v>598</v>
      </c>
      <c r="Z57" s="67">
        <f>AVERAGE(E57,I57,M57,Q57,U57)</f>
        <v>179.6</v>
      </c>
      <c r="AA57" s="143">
        <f>AVERAGE(E57,I57,M57,Q57,U57)-C57</f>
        <v>119.6</v>
      </c>
      <c r="AB57" s="220"/>
    </row>
    <row r="58" spans="1:28" s="38" customFormat="1" ht="15.75" customHeight="1" thickBot="1">
      <c r="A58" s="229" t="s">
        <v>54</v>
      </c>
      <c r="B58" s="230"/>
      <c r="C58" s="151">
        <v>45</v>
      </c>
      <c r="D58" s="60">
        <v>131</v>
      </c>
      <c r="E58" s="50">
        <f>D58+C58</f>
        <v>176</v>
      </c>
      <c r="F58" s="204"/>
      <c r="G58" s="228"/>
      <c r="H58" s="99">
        <v>132</v>
      </c>
      <c r="I58" s="46">
        <f>H58+C58</f>
        <v>177</v>
      </c>
      <c r="J58" s="204"/>
      <c r="K58" s="228"/>
      <c r="L58" s="99">
        <v>139</v>
      </c>
      <c r="M58" s="50">
        <f>L58+C58</f>
        <v>184</v>
      </c>
      <c r="N58" s="204"/>
      <c r="O58" s="228"/>
      <c r="P58" s="99">
        <v>144</v>
      </c>
      <c r="Q58" s="50">
        <f>P58+C58</f>
        <v>189</v>
      </c>
      <c r="R58" s="204"/>
      <c r="S58" s="228"/>
      <c r="T58" s="99">
        <v>146</v>
      </c>
      <c r="U58" s="50">
        <f>C58+T58</f>
        <v>191</v>
      </c>
      <c r="V58" s="204"/>
      <c r="W58" s="228"/>
      <c r="X58" s="47">
        <f t="shared" si="1"/>
        <v>917</v>
      </c>
      <c r="Y58" s="107">
        <f>D58+H58+L58+P58+T58</f>
        <v>692</v>
      </c>
      <c r="Z58" s="68">
        <f>AVERAGE(E58,I58,M58,Q58,U58)</f>
        <v>183.4</v>
      </c>
      <c r="AA58" s="144">
        <f>AVERAGE(E58,I58,M58,Q58,U58)-C58</f>
        <v>138.4</v>
      </c>
      <c r="AB58" s="221"/>
    </row>
    <row r="59" ht="15" customHeight="1"/>
    <row r="60" spans="1:28" s="40" customFormat="1" ht="9" customHeight="1">
      <c r="A60" s="207" t="s">
        <v>337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4"/>
      <c r="W60" s="25"/>
      <c r="Y60" s="57"/>
      <c r="Z60" s="41"/>
      <c r="AA60" s="139"/>
      <c r="AB60" s="25"/>
    </row>
    <row r="61" spans="1:28" s="40" customFormat="1" ht="6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4"/>
      <c r="W61" s="25"/>
      <c r="Y61" s="57"/>
      <c r="Z61" s="41"/>
      <c r="AA61" s="139"/>
      <c r="AB61" s="25"/>
    </row>
    <row r="62" spans="1:28" s="40" customFormat="1" ht="23.25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5"/>
      <c r="W62" s="25"/>
      <c r="Y62" s="57"/>
      <c r="Z62" s="41"/>
      <c r="AA62" s="139"/>
      <c r="AB62" s="25"/>
    </row>
    <row r="63" spans="1:28" s="31" customFormat="1" ht="15.75" customHeight="1">
      <c r="A63" s="209" t="s">
        <v>0</v>
      </c>
      <c r="B63" s="210"/>
      <c r="C63" s="147" t="s">
        <v>39</v>
      </c>
      <c r="D63" s="55"/>
      <c r="E63" s="27" t="s">
        <v>1</v>
      </c>
      <c r="F63" s="211" t="s">
        <v>2</v>
      </c>
      <c r="G63" s="212"/>
      <c r="H63" s="94"/>
      <c r="I63" s="27" t="s">
        <v>3</v>
      </c>
      <c r="J63" s="211" t="s">
        <v>2</v>
      </c>
      <c r="K63" s="212"/>
      <c r="L63" s="94"/>
      <c r="M63" s="27" t="s">
        <v>4</v>
      </c>
      <c r="N63" s="211" t="s">
        <v>2</v>
      </c>
      <c r="O63" s="212"/>
      <c r="P63" s="94"/>
      <c r="Q63" s="27" t="s">
        <v>5</v>
      </c>
      <c r="R63" s="211" t="s">
        <v>2</v>
      </c>
      <c r="S63" s="212"/>
      <c r="T63" s="94"/>
      <c r="U63" s="27" t="s">
        <v>6</v>
      </c>
      <c r="V63" s="211" t="s">
        <v>2</v>
      </c>
      <c r="W63" s="212"/>
      <c r="X63" s="28" t="s">
        <v>7</v>
      </c>
      <c r="Y63" s="104"/>
      <c r="Z63" s="29" t="s">
        <v>40</v>
      </c>
      <c r="AA63" s="140" t="s">
        <v>42</v>
      </c>
      <c r="AB63" s="30" t="s">
        <v>7</v>
      </c>
    </row>
    <row r="64" spans="1:28" s="31" customFormat="1" ht="15.75" customHeight="1" thickBot="1">
      <c r="A64" s="213" t="s">
        <v>9</v>
      </c>
      <c r="B64" s="214"/>
      <c r="C64" s="148"/>
      <c r="D64" s="56"/>
      <c r="E64" s="32" t="s">
        <v>10</v>
      </c>
      <c r="F64" s="211" t="s">
        <v>11</v>
      </c>
      <c r="G64" s="212"/>
      <c r="H64" s="95"/>
      <c r="I64" s="32" t="s">
        <v>10</v>
      </c>
      <c r="J64" s="215" t="s">
        <v>11</v>
      </c>
      <c r="K64" s="216"/>
      <c r="L64" s="95"/>
      <c r="M64" s="32" t="s">
        <v>10</v>
      </c>
      <c r="N64" s="215" t="s">
        <v>11</v>
      </c>
      <c r="O64" s="216"/>
      <c r="P64" s="95"/>
      <c r="Q64" s="32" t="s">
        <v>10</v>
      </c>
      <c r="R64" s="215" t="s">
        <v>11</v>
      </c>
      <c r="S64" s="216"/>
      <c r="T64" s="95"/>
      <c r="U64" s="32" t="s">
        <v>10</v>
      </c>
      <c r="V64" s="215" t="s">
        <v>11</v>
      </c>
      <c r="W64" s="216"/>
      <c r="X64" s="33" t="s">
        <v>10</v>
      </c>
      <c r="Y64" s="134" t="s">
        <v>287</v>
      </c>
      <c r="Z64" s="34" t="s">
        <v>41</v>
      </c>
      <c r="AA64" s="141" t="s">
        <v>43</v>
      </c>
      <c r="AB64" s="35" t="s">
        <v>12</v>
      </c>
    </row>
    <row r="65" spans="1:28" s="38" customFormat="1" ht="42" customHeight="1">
      <c r="A65" s="217" t="s">
        <v>172</v>
      </c>
      <c r="B65" s="218"/>
      <c r="C65" s="149">
        <f>SUM(C66:C68)</f>
        <v>73</v>
      </c>
      <c r="D65" s="62">
        <f>SUM(D66:D68)</f>
        <v>420</v>
      </c>
      <c r="E65" s="63">
        <f>SUM(E66:E68)</f>
        <v>493</v>
      </c>
      <c r="F65" s="46">
        <f>E85</f>
        <v>559</v>
      </c>
      <c r="G65" s="64" t="str">
        <f>A85</f>
        <v>AKAT 1</v>
      </c>
      <c r="H65" s="62">
        <f>SUM(H66:H68)</f>
        <v>476</v>
      </c>
      <c r="I65" s="49">
        <f>SUM(I66:I68)</f>
        <v>549</v>
      </c>
      <c r="J65" s="49">
        <f>I81</f>
        <v>424</v>
      </c>
      <c r="K65" s="42" t="str">
        <f>A81</f>
        <v>T.E.M.</v>
      </c>
      <c r="L65" s="58">
        <f>SUM(L66:L68)</f>
        <v>420</v>
      </c>
      <c r="M65" s="45">
        <f>SUM(M66:M68)</f>
        <v>493</v>
      </c>
      <c r="N65" s="45">
        <f>M77</f>
        <v>555</v>
      </c>
      <c r="O65" s="42" t="str">
        <f>A77</f>
        <v>PLANRAY</v>
      </c>
      <c r="P65" s="45">
        <f>SUM(P66:P68)</f>
        <v>459</v>
      </c>
      <c r="Q65" s="45">
        <f>SUM(Q66:Q68)</f>
        <v>532</v>
      </c>
      <c r="R65" s="45">
        <f>Q73</f>
        <v>548</v>
      </c>
      <c r="S65" s="42" t="str">
        <f>A73</f>
        <v>Holst/ Malmberg</v>
      </c>
      <c r="T65" s="133">
        <f>SUM(T66:T68)</f>
        <v>431</v>
      </c>
      <c r="U65" s="45">
        <f>SUM(U66:U68)</f>
        <v>504</v>
      </c>
      <c r="V65" s="45">
        <f>U69</f>
        <v>550</v>
      </c>
      <c r="W65" s="42" t="str">
        <f>A69</f>
        <v>SADO</v>
      </c>
      <c r="X65" s="36">
        <f aca="true" t="shared" si="2" ref="X65:X88">E65+I65+M65+Q65+U65</f>
        <v>2571</v>
      </c>
      <c r="Y65" s="105">
        <f>SUM(Y66:Y68)</f>
        <v>2206</v>
      </c>
      <c r="Z65" s="37">
        <f>AVERAGE(Z66,Z67,Z68)</f>
        <v>171.4</v>
      </c>
      <c r="AA65" s="142">
        <f>AVERAGE(AA66,AA67,AA68)</f>
        <v>147.06666666666666</v>
      </c>
      <c r="AB65" s="219">
        <f>F66+J66</f>
        <v>1</v>
      </c>
    </row>
    <row r="66" spans="1:28" s="38" customFormat="1" ht="15.75" customHeight="1">
      <c r="A66" s="222" t="s">
        <v>185</v>
      </c>
      <c r="B66" s="223"/>
      <c r="C66" s="150">
        <v>17</v>
      </c>
      <c r="D66" s="59">
        <v>146</v>
      </c>
      <c r="E66" s="50">
        <f>D66+C66</f>
        <v>163</v>
      </c>
      <c r="F66" s="224">
        <f>IF(E65=0,"",IF(E65&gt;F65,1,IF(E65=F65,0.5,0)))</f>
        <v>0</v>
      </c>
      <c r="G66" s="225"/>
      <c r="H66" s="97">
        <v>186</v>
      </c>
      <c r="I66" s="46">
        <f>H66+C66</f>
        <v>203</v>
      </c>
      <c r="J66" s="224">
        <v>1</v>
      </c>
      <c r="K66" s="225"/>
      <c r="L66" s="97">
        <v>139</v>
      </c>
      <c r="M66" s="50">
        <f>L66+C66</f>
        <v>156</v>
      </c>
      <c r="N66" s="224">
        <v>0</v>
      </c>
      <c r="O66" s="225"/>
      <c r="P66" s="97">
        <v>200</v>
      </c>
      <c r="Q66" s="50">
        <f>P66+C66</f>
        <v>217</v>
      </c>
      <c r="R66" s="224">
        <v>0</v>
      </c>
      <c r="S66" s="225"/>
      <c r="T66" s="97">
        <v>155</v>
      </c>
      <c r="U66" s="50">
        <f>T66+C66</f>
        <v>172</v>
      </c>
      <c r="V66" s="224">
        <v>0</v>
      </c>
      <c r="W66" s="225"/>
      <c r="X66" s="46">
        <f t="shared" si="2"/>
        <v>911</v>
      </c>
      <c r="Y66" s="106">
        <f>D66+H66+L66+P66+T66</f>
        <v>826</v>
      </c>
      <c r="Z66" s="67">
        <f>AVERAGE(E66,I66,M66,Q66,U66)</f>
        <v>182.2</v>
      </c>
      <c r="AA66" s="143">
        <f>AVERAGE(E66,I66,M66,Q66,U66)-C66</f>
        <v>165.2</v>
      </c>
      <c r="AB66" s="220"/>
    </row>
    <row r="67" spans="1:28" s="38" customFormat="1" ht="15.75" customHeight="1">
      <c r="A67" s="222" t="s">
        <v>187</v>
      </c>
      <c r="B67" s="223"/>
      <c r="C67" s="150">
        <v>26</v>
      </c>
      <c r="D67" s="59">
        <v>127</v>
      </c>
      <c r="E67" s="50">
        <f>D67+C67</f>
        <v>153</v>
      </c>
      <c r="F67" s="226"/>
      <c r="G67" s="227"/>
      <c r="H67" s="98">
        <v>136</v>
      </c>
      <c r="I67" s="46">
        <f>H67+C67</f>
        <v>162</v>
      </c>
      <c r="J67" s="226"/>
      <c r="K67" s="227"/>
      <c r="L67" s="98">
        <v>149</v>
      </c>
      <c r="M67" s="50">
        <f>L67+C67</f>
        <v>175</v>
      </c>
      <c r="N67" s="226"/>
      <c r="O67" s="227"/>
      <c r="P67" s="98">
        <v>146</v>
      </c>
      <c r="Q67" s="50">
        <f>P67+C67</f>
        <v>172</v>
      </c>
      <c r="R67" s="226"/>
      <c r="S67" s="227"/>
      <c r="T67" s="98">
        <v>102</v>
      </c>
      <c r="U67" s="50">
        <f>T67+C67</f>
        <v>128</v>
      </c>
      <c r="V67" s="226"/>
      <c r="W67" s="227"/>
      <c r="X67" s="46">
        <f t="shared" si="2"/>
        <v>790</v>
      </c>
      <c r="Y67" s="106">
        <f>D67+H67+L67+P67+T67</f>
        <v>660</v>
      </c>
      <c r="Z67" s="67">
        <f>AVERAGE(E67,I67,M67,Q67,U67)</f>
        <v>158</v>
      </c>
      <c r="AA67" s="143">
        <f>AVERAGE(E67,I67,M67,Q67,U67)-C67</f>
        <v>132</v>
      </c>
      <c r="AB67" s="220"/>
    </row>
    <row r="68" spans="1:28" s="38" customFormat="1" ht="16.5" customHeight="1" thickBot="1">
      <c r="A68" s="229" t="s">
        <v>186</v>
      </c>
      <c r="B68" s="230"/>
      <c r="C68" s="151">
        <v>30</v>
      </c>
      <c r="D68" s="60">
        <v>147</v>
      </c>
      <c r="E68" s="50">
        <f>D68+C68</f>
        <v>177</v>
      </c>
      <c r="F68" s="204"/>
      <c r="G68" s="228"/>
      <c r="H68" s="99">
        <v>154</v>
      </c>
      <c r="I68" s="46">
        <f>H68+C68</f>
        <v>184</v>
      </c>
      <c r="J68" s="204"/>
      <c r="K68" s="228"/>
      <c r="L68" s="99">
        <v>132</v>
      </c>
      <c r="M68" s="50">
        <f>L68+C68</f>
        <v>162</v>
      </c>
      <c r="N68" s="204"/>
      <c r="O68" s="228"/>
      <c r="P68" s="99">
        <v>113</v>
      </c>
      <c r="Q68" s="50">
        <f>P68+C68</f>
        <v>143</v>
      </c>
      <c r="R68" s="204"/>
      <c r="S68" s="228"/>
      <c r="T68" s="99">
        <v>174</v>
      </c>
      <c r="U68" s="50">
        <f>T68+C68</f>
        <v>204</v>
      </c>
      <c r="V68" s="204"/>
      <c r="W68" s="228"/>
      <c r="X68" s="47">
        <f t="shared" si="2"/>
        <v>870</v>
      </c>
      <c r="Y68" s="107">
        <f>D68+H68+L68+P68+T68</f>
        <v>720</v>
      </c>
      <c r="Z68" s="68">
        <f>AVERAGE(E68,I68,M68,Q68,U68)</f>
        <v>174</v>
      </c>
      <c r="AA68" s="144">
        <f>AVERAGE(E68,I68,M68,Q68,U68)-C68</f>
        <v>144</v>
      </c>
      <c r="AB68" s="221"/>
    </row>
    <row r="69" spans="1:28" s="38" customFormat="1" ht="41.25" customHeight="1">
      <c r="A69" s="217" t="s">
        <v>76</v>
      </c>
      <c r="B69" s="218"/>
      <c r="C69" s="149">
        <f>SUM(C70:C72)</f>
        <v>112</v>
      </c>
      <c r="D69" s="62">
        <f>SUM(D70:D72)</f>
        <v>360</v>
      </c>
      <c r="E69" s="45">
        <f>SUM(E70:E72)</f>
        <v>472</v>
      </c>
      <c r="F69" s="45">
        <f>E81</f>
        <v>455</v>
      </c>
      <c r="G69" s="42" t="str">
        <f>A81</f>
        <v>T.E.M.</v>
      </c>
      <c r="H69" s="62">
        <f>SUM(H70:H72)</f>
        <v>416</v>
      </c>
      <c r="I69" s="45">
        <f>SUM(I70:I72)</f>
        <v>528</v>
      </c>
      <c r="J69" s="45">
        <f>I77</f>
        <v>556</v>
      </c>
      <c r="K69" s="42" t="str">
        <f>A77</f>
        <v>PLANRAY</v>
      </c>
      <c r="L69" s="133">
        <f>SUM(L70:L72)</f>
        <v>482</v>
      </c>
      <c r="M69" s="49">
        <f>SUM(M70:M72)</f>
        <v>594</v>
      </c>
      <c r="N69" s="45">
        <f>M73</f>
        <v>567</v>
      </c>
      <c r="O69" s="42" t="str">
        <f>A73</f>
        <v>Holst/ Malmberg</v>
      </c>
      <c r="P69" s="45">
        <f>SUM(P70:P72)</f>
        <v>422</v>
      </c>
      <c r="Q69" s="49">
        <f>SUM(Q70:Q72)</f>
        <v>534</v>
      </c>
      <c r="R69" s="45">
        <f>Q85</f>
        <v>643</v>
      </c>
      <c r="S69" s="42" t="str">
        <f>A85</f>
        <v>AKAT 1</v>
      </c>
      <c r="T69" s="133">
        <f>SUM(T70:T72)</f>
        <v>438</v>
      </c>
      <c r="U69" s="49">
        <f>SUM(U70:U72)</f>
        <v>550</v>
      </c>
      <c r="V69" s="45">
        <f>U65</f>
        <v>504</v>
      </c>
      <c r="W69" s="42" t="str">
        <f>A65</f>
        <v>A.E.J.</v>
      </c>
      <c r="X69" s="36">
        <f t="shared" si="2"/>
        <v>2678</v>
      </c>
      <c r="Y69" s="105">
        <f>SUM(Y70:Y72)</f>
        <v>2118</v>
      </c>
      <c r="Z69" s="65">
        <f>AVERAGE(Z70,Z71,Z72)</f>
        <v>178.5333333333333</v>
      </c>
      <c r="AA69" s="142">
        <f>AVERAGE(AA70,AA71,AA72)</f>
        <v>141.2</v>
      </c>
      <c r="AB69" s="219">
        <f>F70+J70+N70+R70+V70</f>
        <v>3</v>
      </c>
    </row>
    <row r="70" spans="1:28" s="38" customFormat="1" ht="15.75" customHeight="1">
      <c r="A70" s="222" t="s">
        <v>90</v>
      </c>
      <c r="B70" s="223"/>
      <c r="C70" s="150">
        <v>41</v>
      </c>
      <c r="D70" s="59">
        <v>105</v>
      </c>
      <c r="E70" s="50">
        <f>D70+C70</f>
        <v>146</v>
      </c>
      <c r="F70" s="224">
        <v>1</v>
      </c>
      <c r="G70" s="225"/>
      <c r="H70" s="97">
        <v>115</v>
      </c>
      <c r="I70" s="46">
        <f>H70+C70</f>
        <v>156</v>
      </c>
      <c r="J70" s="224">
        <v>0</v>
      </c>
      <c r="K70" s="225"/>
      <c r="L70" s="97">
        <v>156</v>
      </c>
      <c r="M70" s="50">
        <f>L70+C70</f>
        <v>197</v>
      </c>
      <c r="N70" s="224">
        <v>1</v>
      </c>
      <c r="O70" s="225"/>
      <c r="P70" s="97">
        <v>133</v>
      </c>
      <c r="Q70" s="50">
        <f>P70+C70</f>
        <v>174</v>
      </c>
      <c r="R70" s="224">
        <v>0</v>
      </c>
      <c r="S70" s="225"/>
      <c r="T70" s="97">
        <v>113</v>
      </c>
      <c r="U70" s="50">
        <f>T70+C70</f>
        <v>154</v>
      </c>
      <c r="V70" s="224">
        <v>1</v>
      </c>
      <c r="W70" s="225"/>
      <c r="X70" s="46">
        <f t="shared" si="2"/>
        <v>827</v>
      </c>
      <c r="Y70" s="106">
        <f>D70+H70+L70+P70+T70</f>
        <v>622</v>
      </c>
      <c r="Z70" s="67">
        <f>AVERAGE(E70,I70,M70,Q70,U70)</f>
        <v>165.4</v>
      </c>
      <c r="AA70" s="143">
        <f>AVERAGE(E70,I70,M70,Q70,U70)-C70</f>
        <v>124.4</v>
      </c>
      <c r="AB70" s="220"/>
    </row>
    <row r="71" spans="1:28" s="38" customFormat="1" ht="15.75" customHeight="1">
      <c r="A71" s="222" t="s">
        <v>98</v>
      </c>
      <c r="B71" s="223"/>
      <c r="C71" s="150">
        <v>51</v>
      </c>
      <c r="D71" s="59">
        <v>120</v>
      </c>
      <c r="E71" s="50">
        <f>D71+C71</f>
        <v>171</v>
      </c>
      <c r="F71" s="226"/>
      <c r="G71" s="227"/>
      <c r="H71" s="98">
        <v>137</v>
      </c>
      <c r="I71" s="46">
        <f>H71+C71</f>
        <v>188</v>
      </c>
      <c r="J71" s="226"/>
      <c r="K71" s="227"/>
      <c r="L71" s="98">
        <v>164</v>
      </c>
      <c r="M71" s="50">
        <f>L71+C71</f>
        <v>215</v>
      </c>
      <c r="N71" s="226"/>
      <c r="O71" s="227"/>
      <c r="P71" s="98">
        <v>141</v>
      </c>
      <c r="Q71" s="50">
        <f>P71+C71</f>
        <v>192</v>
      </c>
      <c r="R71" s="226"/>
      <c r="S71" s="227"/>
      <c r="T71" s="98">
        <v>143</v>
      </c>
      <c r="U71" s="50">
        <f>T71+C71</f>
        <v>194</v>
      </c>
      <c r="V71" s="226"/>
      <c r="W71" s="227"/>
      <c r="X71" s="46">
        <f t="shared" si="2"/>
        <v>960</v>
      </c>
      <c r="Y71" s="106">
        <f>D71+H71+L71+P71+T71</f>
        <v>705</v>
      </c>
      <c r="Z71" s="67">
        <f>AVERAGE(E71,I71,M71,Q71,U71)</f>
        <v>192</v>
      </c>
      <c r="AA71" s="143">
        <f>AVERAGE(E71,I71,M71,Q71,U71)-C71</f>
        <v>141</v>
      </c>
      <c r="AB71" s="220"/>
    </row>
    <row r="72" spans="1:28" s="38" customFormat="1" ht="15.75" customHeight="1" thickBot="1">
      <c r="A72" s="229" t="s">
        <v>91</v>
      </c>
      <c r="B72" s="230"/>
      <c r="C72" s="151">
        <v>20</v>
      </c>
      <c r="D72" s="60">
        <v>135</v>
      </c>
      <c r="E72" s="50">
        <f>D72+C72</f>
        <v>155</v>
      </c>
      <c r="F72" s="204"/>
      <c r="G72" s="228"/>
      <c r="H72" s="99">
        <v>164</v>
      </c>
      <c r="I72" s="46">
        <f>H72+C72</f>
        <v>184</v>
      </c>
      <c r="J72" s="204"/>
      <c r="K72" s="228"/>
      <c r="L72" s="99">
        <v>162</v>
      </c>
      <c r="M72" s="50">
        <f>L72+C72</f>
        <v>182</v>
      </c>
      <c r="N72" s="204"/>
      <c r="O72" s="228"/>
      <c r="P72" s="99">
        <v>148</v>
      </c>
      <c r="Q72" s="50">
        <f>P72+C72</f>
        <v>168</v>
      </c>
      <c r="R72" s="204"/>
      <c r="S72" s="228"/>
      <c r="T72" s="99">
        <v>182</v>
      </c>
      <c r="U72" s="50">
        <f>T72+C72</f>
        <v>202</v>
      </c>
      <c r="V72" s="204"/>
      <c r="W72" s="228"/>
      <c r="X72" s="47">
        <f t="shared" si="2"/>
        <v>891</v>
      </c>
      <c r="Y72" s="107">
        <f>D72+H72+L72+P72+T72</f>
        <v>791</v>
      </c>
      <c r="Z72" s="68">
        <f>AVERAGE(E72,I72,M72,Q72,U72)</f>
        <v>178.2</v>
      </c>
      <c r="AA72" s="144">
        <f>AVERAGE(E72,I72,M72,Q72,U72)-C72</f>
        <v>158.2</v>
      </c>
      <c r="AB72" s="221"/>
    </row>
    <row r="73" spans="1:28" s="38" customFormat="1" ht="47.25" customHeight="1">
      <c r="A73" s="217" t="s">
        <v>282</v>
      </c>
      <c r="B73" s="218"/>
      <c r="C73" s="149">
        <f>SUM(C74:C76)</f>
        <v>123</v>
      </c>
      <c r="D73" s="62">
        <f>SUM(D74:D76)</f>
        <v>358</v>
      </c>
      <c r="E73" s="45">
        <f>SUM(E74:E76)</f>
        <v>481</v>
      </c>
      <c r="F73" s="45">
        <f>E77</f>
        <v>519</v>
      </c>
      <c r="G73" s="42" t="str">
        <f>A77</f>
        <v>PLANRAY</v>
      </c>
      <c r="H73" s="62">
        <f>SUM(H74:H76)</f>
        <v>480</v>
      </c>
      <c r="I73" s="45">
        <f>SUM(I74:I76)</f>
        <v>603</v>
      </c>
      <c r="J73" s="45">
        <f>I85</f>
        <v>624</v>
      </c>
      <c r="K73" s="42" t="str">
        <f>A85</f>
        <v>AKAT 1</v>
      </c>
      <c r="L73" s="133">
        <f>SUM(L74:L76)</f>
        <v>444</v>
      </c>
      <c r="M73" s="69">
        <f>SUM(M74:M76)</f>
        <v>567</v>
      </c>
      <c r="N73" s="45">
        <f>M69</f>
        <v>594</v>
      </c>
      <c r="O73" s="42" t="str">
        <f>A69</f>
        <v>SADO</v>
      </c>
      <c r="P73" s="45">
        <f>SUM(P74:P76)</f>
        <v>425</v>
      </c>
      <c r="Q73" s="49">
        <f>SUM(Q74:Q76)</f>
        <v>548</v>
      </c>
      <c r="R73" s="45">
        <f>Q65</f>
        <v>532</v>
      </c>
      <c r="S73" s="42" t="str">
        <f>A65</f>
        <v>A.E.J.</v>
      </c>
      <c r="T73" s="133">
        <f>SUM(T74:T76)</f>
        <v>384</v>
      </c>
      <c r="U73" s="69">
        <f>SUM(U74:U76)</f>
        <v>507</v>
      </c>
      <c r="V73" s="45">
        <f>U81</f>
        <v>586</v>
      </c>
      <c r="W73" s="42" t="str">
        <f>A81</f>
        <v>T.E.M.</v>
      </c>
      <c r="X73" s="36">
        <f t="shared" si="2"/>
        <v>2706</v>
      </c>
      <c r="Y73" s="105">
        <f>SUM(Y74:Y76)</f>
        <v>2091</v>
      </c>
      <c r="Z73" s="65">
        <f>AVERAGE(Z74,Z75,Z76)</f>
        <v>180.4</v>
      </c>
      <c r="AA73" s="142">
        <f>AVERAGE(AA74,AA75,AA76)</f>
        <v>139.4</v>
      </c>
      <c r="AB73" s="219">
        <f>F74+J74+N74+R74+V74</f>
        <v>1</v>
      </c>
    </row>
    <row r="74" spans="1:28" s="38" customFormat="1" ht="15.75" customHeight="1">
      <c r="A74" s="222" t="s">
        <v>147</v>
      </c>
      <c r="B74" s="223"/>
      <c r="C74" s="150">
        <v>31</v>
      </c>
      <c r="D74" s="59">
        <v>102</v>
      </c>
      <c r="E74" s="50">
        <f>D74+C74</f>
        <v>133</v>
      </c>
      <c r="F74" s="224">
        <v>0</v>
      </c>
      <c r="G74" s="225"/>
      <c r="H74" s="97">
        <v>192</v>
      </c>
      <c r="I74" s="46">
        <f>H74+C74</f>
        <v>223</v>
      </c>
      <c r="J74" s="224">
        <v>0</v>
      </c>
      <c r="K74" s="225"/>
      <c r="L74" s="97">
        <v>166</v>
      </c>
      <c r="M74" s="50">
        <f>L74+C74</f>
        <v>197</v>
      </c>
      <c r="N74" s="224">
        <v>0</v>
      </c>
      <c r="O74" s="225"/>
      <c r="P74" s="97">
        <v>189</v>
      </c>
      <c r="Q74" s="50">
        <f>P74+C74</f>
        <v>220</v>
      </c>
      <c r="R74" s="224">
        <v>1</v>
      </c>
      <c r="S74" s="225"/>
      <c r="T74" s="97">
        <v>149</v>
      </c>
      <c r="U74" s="50">
        <f>T74+C74</f>
        <v>180</v>
      </c>
      <c r="V74" s="224">
        <v>0</v>
      </c>
      <c r="W74" s="225"/>
      <c r="X74" s="46">
        <f t="shared" si="2"/>
        <v>953</v>
      </c>
      <c r="Y74" s="106">
        <f>D74+H74+L74+P74+T74</f>
        <v>798</v>
      </c>
      <c r="Z74" s="67">
        <f>AVERAGE(E74,I74,M74,Q74,U74)</f>
        <v>190.6</v>
      </c>
      <c r="AA74" s="143">
        <f>AVERAGE(E74,I74,M74,Q74,U74)-C74</f>
        <v>159.6</v>
      </c>
      <c r="AB74" s="220"/>
    </row>
    <row r="75" spans="1:28" s="38" customFormat="1" ht="15.75" customHeight="1">
      <c r="A75" s="222" t="s">
        <v>148</v>
      </c>
      <c r="B75" s="223"/>
      <c r="C75" s="150">
        <v>51</v>
      </c>
      <c r="D75" s="59">
        <v>113</v>
      </c>
      <c r="E75" s="50">
        <f>D75+C75</f>
        <v>164</v>
      </c>
      <c r="F75" s="226"/>
      <c r="G75" s="227"/>
      <c r="H75" s="98">
        <v>134</v>
      </c>
      <c r="I75" s="46">
        <f>H75+C75</f>
        <v>185</v>
      </c>
      <c r="J75" s="226"/>
      <c r="K75" s="227"/>
      <c r="L75" s="98">
        <v>114</v>
      </c>
      <c r="M75" s="50">
        <f>L75+C75</f>
        <v>165</v>
      </c>
      <c r="N75" s="226"/>
      <c r="O75" s="227"/>
      <c r="P75" s="98">
        <v>131</v>
      </c>
      <c r="Q75" s="50">
        <f>P75+C75</f>
        <v>182</v>
      </c>
      <c r="R75" s="226"/>
      <c r="S75" s="227"/>
      <c r="T75" s="98">
        <v>123</v>
      </c>
      <c r="U75" s="50">
        <f>T75+C75</f>
        <v>174</v>
      </c>
      <c r="V75" s="226"/>
      <c r="W75" s="227"/>
      <c r="X75" s="46">
        <f t="shared" si="2"/>
        <v>870</v>
      </c>
      <c r="Y75" s="106">
        <f>D75+H75+L75+P75+T75</f>
        <v>615</v>
      </c>
      <c r="Z75" s="67">
        <f>AVERAGE(E75,I75,M75,Q75,U75)</f>
        <v>174</v>
      </c>
      <c r="AA75" s="143">
        <f>AVERAGE(E75,I75,M75,Q75,U75)-C75</f>
        <v>123</v>
      </c>
      <c r="AB75" s="220"/>
    </row>
    <row r="76" spans="1:28" s="38" customFormat="1" ht="15.75" customHeight="1" thickBot="1">
      <c r="A76" s="229" t="s">
        <v>149</v>
      </c>
      <c r="B76" s="230"/>
      <c r="C76" s="151">
        <v>41</v>
      </c>
      <c r="D76" s="60">
        <v>143</v>
      </c>
      <c r="E76" s="50">
        <f>D76+C76</f>
        <v>184</v>
      </c>
      <c r="F76" s="204"/>
      <c r="G76" s="228"/>
      <c r="H76" s="99">
        <v>154</v>
      </c>
      <c r="I76" s="46">
        <f>H76+C76</f>
        <v>195</v>
      </c>
      <c r="J76" s="204"/>
      <c r="K76" s="228"/>
      <c r="L76" s="99">
        <v>164</v>
      </c>
      <c r="M76" s="50">
        <f>L76+C76</f>
        <v>205</v>
      </c>
      <c r="N76" s="204"/>
      <c r="O76" s="228"/>
      <c r="P76" s="99">
        <v>105</v>
      </c>
      <c r="Q76" s="50">
        <f>P76+C76</f>
        <v>146</v>
      </c>
      <c r="R76" s="204"/>
      <c r="S76" s="228"/>
      <c r="T76" s="99">
        <v>112</v>
      </c>
      <c r="U76" s="50">
        <f>T76+C76</f>
        <v>153</v>
      </c>
      <c r="V76" s="204"/>
      <c r="W76" s="228"/>
      <c r="X76" s="47">
        <f t="shared" si="2"/>
        <v>883</v>
      </c>
      <c r="Y76" s="107">
        <f>D76+H76+L76+P76+T76</f>
        <v>678</v>
      </c>
      <c r="Z76" s="68">
        <f>AVERAGE(E76,I76,M76,Q76,U76)</f>
        <v>176.6</v>
      </c>
      <c r="AA76" s="144">
        <f>AVERAGE(E76,I76,M76,Q76,U76)-C76</f>
        <v>135.6</v>
      </c>
      <c r="AB76" s="221"/>
    </row>
    <row r="77" spans="1:28" s="38" customFormat="1" ht="39" customHeight="1">
      <c r="A77" s="217" t="s">
        <v>77</v>
      </c>
      <c r="B77" s="218"/>
      <c r="C77" s="149">
        <f>SUM(C78:C80)</f>
        <v>157</v>
      </c>
      <c r="D77" s="62">
        <f>SUM(D78:D80)</f>
        <v>362</v>
      </c>
      <c r="E77" s="45">
        <f>SUM(E78:E80)</f>
        <v>519</v>
      </c>
      <c r="F77" s="45">
        <f>E73</f>
        <v>481</v>
      </c>
      <c r="G77" s="42" t="str">
        <f>A73</f>
        <v>Holst/ Malmberg</v>
      </c>
      <c r="H77" s="62">
        <f>SUM(H78:H80)</f>
        <v>399</v>
      </c>
      <c r="I77" s="45">
        <f>SUM(I78:I80)</f>
        <v>556</v>
      </c>
      <c r="J77" s="45">
        <f>I69</f>
        <v>528</v>
      </c>
      <c r="K77" s="42" t="str">
        <f>A69</f>
        <v>SADO</v>
      </c>
      <c r="L77" s="133">
        <f>SUM(L78:L80)</f>
        <v>398</v>
      </c>
      <c r="M77" s="49">
        <f>SUM(M78:M80)</f>
        <v>555</v>
      </c>
      <c r="N77" s="45">
        <f>M65</f>
        <v>493</v>
      </c>
      <c r="O77" s="42" t="str">
        <f>A65</f>
        <v>A.E.J.</v>
      </c>
      <c r="P77" s="45">
        <f>SUM(P78:P80)</f>
        <v>373</v>
      </c>
      <c r="Q77" s="49">
        <f>SUM(Q78:Q80)</f>
        <v>530</v>
      </c>
      <c r="R77" s="45">
        <f>Q81</f>
        <v>555</v>
      </c>
      <c r="S77" s="42" t="str">
        <f>A81</f>
        <v>T.E.M.</v>
      </c>
      <c r="T77" s="133">
        <f>SUM(T78:T80)</f>
        <v>370</v>
      </c>
      <c r="U77" s="49">
        <f>SUM(U78:U80)</f>
        <v>527</v>
      </c>
      <c r="V77" s="45">
        <f>U85</f>
        <v>475</v>
      </c>
      <c r="W77" s="42" t="str">
        <f>A85</f>
        <v>AKAT 1</v>
      </c>
      <c r="X77" s="36">
        <f t="shared" si="2"/>
        <v>2687</v>
      </c>
      <c r="Y77" s="105">
        <f>SUM(Y78:Y80)</f>
        <v>1902</v>
      </c>
      <c r="Z77" s="65">
        <f>AVERAGE(Z78,Z79,Z80)</f>
        <v>179.13333333333333</v>
      </c>
      <c r="AA77" s="142">
        <f>AVERAGE(AA78,AA79,AA80)</f>
        <v>126.8</v>
      </c>
      <c r="AB77" s="219">
        <f>F78+J78+N78+R78+V78</f>
        <v>4</v>
      </c>
    </row>
    <row r="78" spans="1:28" s="38" customFormat="1" ht="15.75" customHeight="1">
      <c r="A78" s="222" t="s">
        <v>95</v>
      </c>
      <c r="B78" s="223"/>
      <c r="C78" s="150">
        <v>53</v>
      </c>
      <c r="D78" s="59">
        <v>113</v>
      </c>
      <c r="E78" s="50">
        <f>D78+C78</f>
        <v>166</v>
      </c>
      <c r="F78" s="224">
        <v>1</v>
      </c>
      <c r="G78" s="225"/>
      <c r="H78" s="97">
        <v>127</v>
      </c>
      <c r="I78" s="46">
        <f>H78+C78</f>
        <v>180</v>
      </c>
      <c r="J78" s="224">
        <v>1</v>
      </c>
      <c r="K78" s="225"/>
      <c r="L78" s="97">
        <v>135</v>
      </c>
      <c r="M78" s="50">
        <f>L78+C78</f>
        <v>188</v>
      </c>
      <c r="N78" s="224">
        <v>1</v>
      </c>
      <c r="O78" s="225"/>
      <c r="P78" s="97">
        <v>98</v>
      </c>
      <c r="Q78" s="50">
        <f>P78+C78</f>
        <v>151</v>
      </c>
      <c r="R78" s="224">
        <v>0</v>
      </c>
      <c r="S78" s="225"/>
      <c r="T78" s="97">
        <v>116</v>
      </c>
      <c r="U78" s="50">
        <f>T78+C78</f>
        <v>169</v>
      </c>
      <c r="V78" s="224">
        <v>1</v>
      </c>
      <c r="W78" s="225"/>
      <c r="X78" s="46">
        <f t="shared" si="2"/>
        <v>854</v>
      </c>
      <c r="Y78" s="106">
        <f>D78+H78+L78+P78+T78</f>
        <v>589</v>
      </c>
      <c r="Z78" s="67">
        <f>AVERAGE(E78,I78,M78,Q78,U78)</f>
        <v>170.8</v>
      </c>
      <c r="AA78" s="143">
        <f>AVERAGE(E78,I78,M78,Q78,U78)-C78</f>
        <v>117.80000000000001</v>
      </c>
      <c r="AB78" s="220"/>
    </row>
    <row r="79" spans="1:28" s="38" customFormat="1" ht="15.75" customHeight="1">
      <c r="A79" s="222" t="s">
        <v>96</v>
      </c>
      <c r="B79" s="223"/>
      <c r="C79" s="150">
        <v>50</v>
      </c>
      <c r="D79" s="59">
        <v>151</v>
      </c>
      <c r="E79" s="50">
        <f>D79+C79</f>
        <v>201</v>
      </c>
      <c r="F79" s="226"/>
      <c r="G79" s="227"/>
      <c r="H79" s="98">
        <v>170</v>
      </c>
      <c r="I79" s="46">
        <f>H79+C79</f>
        <v>220</v>
      </c>
      <c r="J79" s="226"/>
      <c r="K79" s="227"/>
      <c r="L79" s="98">
        <v>149</v>
      </c>
      <c r="M79" s="50">
        <f>L79+C79</f>
        <v>199</v>
      </c>
      <c r="N79" s="226"/>
      <c r="O79" s="227"/>
      <c r="P79" s="98">
        <v>134</v>
      </c>
      <c r="Q79" s="50">
        <f>P79+C79</f>
        <v>184</v>
      </c>
      <c r="R79" s="226"/>
      <c r="S79" s="227"/>
      <c r="T79" s="98">
        <v>131</v>
      </c>
      <c r="U79" s="50">
        <f>T79+C79</f>
        <v>181</v>
      </c>
      <c r="V79" s="226"/>
      <c r="W79" s="227"/>
      <c r="X79" s="46">
        <f t="shared" si="2"/>
        <v>985</v>
      </c>
      <c r="Y79" s="106">
        <f>D79+H79+L79+P79+T79</f>
        <v>735</v>
      </c>
      <c r="Z79" s="67">
        <f>AVERAGE(E79,I79,M79,Q79,U79)</f>
        <v>197</v>
      </c>
      <c r="AA79" s="143">
        <f>AVERAGE(E79,I79,M79,Q79,U79)-C79</f>
        <v>147</v>
      </c>
      <c r="AB79" s="220"/>
    </row>
    <row r="80" spans="1:29" s="38" customFormat="1" ht="15.75" customHeight="1" thickBot="1">
      <c r="A80" s="229" t="s">
        <v>97</v>
      </c>
      <c r="B80" s="230"/>
      <c r="C80" s="151">
        <v>54</v>
      </c>
      <c r="D80" s="60">
        <v>98</v>
      </c>
      <c r="E80" s="50">
        <f>D80+C80</f>
        <v>152</v>
      </c>
      <c r="F80" s="204"/>
      <c r="G80" s="228"/>
      <c r="H80" s="99">
        <v>102</v>
      </c>
      <c r="I80" s="46">
        <f>H80+C80</f>
        <v>156</v>
      </c>
      <c r="J80" s="204"/>
      <c r="K80" s="228"/>
      <c r="L80" s="99">
        <v>114</v>
      </c>
      <c r="M80" s="50">
        <f>L80+C80</f>
        <v>168</v>
      </c>
      <c r="N80" s="204"/>
      <c r="O80" s="228"/>
      <c r="P80" s="99">
        <v>141</v>
      </c>
      <c r="Q80" s="50">
        <f>P80+C80</f>
        <v>195</v>
      </c>
      <c r="R80" s="204"/>
      <c r="S80" s="228"/>
      <c r="T80" s="99">
        <v>123</v>
      </c>
      <c r="U80" s="50">
        <f>T80+C80</f>
        <v>177</v>
      </c>
      <c r="V80" s="204"/>
      <c r="W80" s="228"/>
      <c r="X80" s="47">
        <f t="shared" si="2"/>
        <v>848</v>
      </c>
      <c r="Y80" s="107">
        <f>D80+H80+L80+P80+T80</f>
        <v>578</v>
      </c>
      <c r="Z80" s="68">
        <f>AVERAGE(E80,I80,M80,Q80,U80)</f>
        <v>169.6</v>
      </c>
      <c r="AA80" s="144">
        <f>AVERAGE(E80,I80,M80,Q80,U80)-C80</f>
        <v>115.6</v>
      </c>
      <c r="AB80" s="221"/>
      <c r="AC80" s="44"/>
    </row>
    <row r="81" spans="1:28" s="38" customFormat="1" ht="53.25" customHeight="1">
      <c r="A81" s="217" t="s">
        <v>167</v>
      </c>
      <c r="B81" s="218"/>
      <c r="C81" s="149">
        <f>SUM(C82:C84)</f>
        <v>147</v>
      </c>
      <c r="D81" s="62">
        <f>SUM(D82:D84)</f>
        <v>308</v>
      </c>
      <c r="E81" s="45">
        <f>SUM(E82:E84)</f>
        <v>455</v>
      </c>
      <c r="F81" s="45">
        <f>E69</f>
        <v>472</v>
      </c>
      <c r="G81" s="42" t="str">
        <f>A69</f>
        <v>SADO</v>
      </c>
      <c r="H81" s="62">
        <f>SUM(H82:H84)</f>
        <v>277</v>
      </c>
      <c r="I81" s="45">
        <f>SUM(I82:I84)</f>
        <v>424</v>
      </c>
      <c r="J81" s="45">
        <f>I65</f>
        <v>549</v>
      </c>
      <c r="K81" s="42" t="str">
        <f>A65</f>
        <v>A.E.J.</v>
      </c>
      <c r="L81" s="133">
        <f>SUM(L82:L84)</f>
        <v>342</v>
      </c>
      <c r="M81" s="69">
        <f>SUM(M82:M84)</f>
        <v>489</v>
      </c>
      <c r="N81" s="45">
        <f>M85</f>
        <v>526</v>
      </c>
      <c r="O81" s="42" t="str">
        <f>A85</f>
        <v>AKAT 1</v>
      </c>
      <c r="P81" s="45">
        <f>SUM(P82:P84)</f>
        <v>408</v>
      </c>
      <c r="Q81" s="69">
        <f>SUM(Q82:Q84)</f>
        <v>555</v>
      </c>
      <c r="R81" s="45">
        <f>Q77</f>
        <v>530</v>
      </c>
      <c r="S81" s="42" t="str">
        <f>A77</f>
        <v>PLANRAY</v>
      </c>
      <c r="T81" s="133">
        <f>SUM(T82:T84)</f>
        <v>439</v>
      </c>
      <c r="U81" s="69">
        <f>SUM(U82:U84)</f>
        <v>586</v>
      </c>
      <c r="V81" s="45">
        <f>U73</f>
        <v>507</v>
      </c>
      <c r="W81" s="42" t="str">
        <f>A73</f>
        <v>Holst/ Malmberg</v>
      </c>
      <c r="X81" s="36">
        <f t="shared" si="2"/>
        <v>2509</v>
      </c>
      <c r="Y81" s="105">
        <f>SUM(Y82:Y84)</f>
        <v>1774</v>
      </c>
      <c r="Z81" s="65">
        <f>AVERAGE(Z82,Z83,Z84)</f>
        <v>167.26666666666668</v>
      </c>
      <c r="AA81" s="142">
        <f>AVERAGE(AA82,AA83,AA84)</f>
        <v>118.26666666666667</v>
      </c>
      <c r="AB81" s="219">
        <f>F82+J82+N82+R82+V82</f>
        <v>2</v>
      </c>
    </row>
    <row r="82" spans="1:28" s="38" customFormat="1" ht="15.75" customHeight="1">
      <c r="A82" s="222" t="s">
        <v>170</v>
      </c>
      <c r="B82" s="223"/>
      <c r="C82" s="150">
        <v>45</v>
      </c>
      <c r="D82" s="59">
        <v>112</v>
      </c>
      <c r="E82" s="50">
        <f>D82+C82</f>
        <v>157</v>
      </c>
      <c r="F82" s="224">
        <v>0</v>
      </c>
      <c r="G82" s="225"/>
      <c r="H82" s="97">
        <v>87</v>
      </c>
      <c r="I82" s="46">
        <f>H82+C82</f>
        <v>132</v>
      </c>
      <c r="J82" s="224">
        <v>0</v>
      </c>
      <c r="K82" s="225"/>
      <c r="L82" s="97">
        <v>106</v>
      </c>
      <c r="M82" s="50">
        <f>L82+C82</f>
        <v>151</v>
      </c>
      <c r="N82" s="224">
        <v>0</v>
      </c>
      <c r="O82" s="225"/>
      <c r="P82" s="97">
        <v>161</v>
      </c>
      <c r="Q82" s="50">
        <f>P82+C82</f>
        <v>206</v>
      </c>
      <c r="R82" s="224">
        <v>1</v>
      </c>
      <c r="S82" s="225"/>
      <c r="T82" s="97">
        <v>145</v>
      </c>
      <c r="U82" s="50">
        <f>T82+C82</f>
        <v>190</v>
      </c>
      <c r="V82" s="224">
        <v>1</v>
      </c>
      <c r="W82" s="225"/>
      <c r="X82" s="46">
        <f t="shared" si="2"/>
        <v>836</v>
      </c>
      <c r="Y82" s="106">
        <f>D82+H82+L82+P82+T82</f>
        <v>611</v>
      </c>
      <c r="Z82" s="67">
        <f>AVERAGE(E82,I82,M82,Q82,U82)</f>
        <v>167.2</v>
      </c>
      <c r="AA82" s="143">
        <f>AVERAGE(E82,I82,M82,Q82,U82)-C82</f>
        <v>122.19999999999999</v>
      </c>
      <c r="AB82" s="220"/>
    </row>
    <row r="83" spans="1:28" s="38" customFormat="1" ht="15.75" customHeight="1">
      <c r="A83" s="222" t="s">
        <v>168</v>
      </c>
      <c r="B83" s="223"/>
      <c r="C83" s="150">
        <v>44</v>
      </c>
      <c r="D83" s="59">
        <v>90</v>
      </c>
      <c r="E83" s="50">
        <f>D83+C83</f>
        <v>134</v>
      </c>
      <c r="F83" s="226"/>
      <c r="G83" s="227"/>
      <c r="H83" s="98">
        <v>82</v>
      </c>
      <c r="I83" s="46">
        <f>H83+C83</f>
        <v>126</v>
      </c>
      <c r="J83" s="226"/>
      <c r="K83" s="227"/>
      <c r="L83" s="98">
        <v>98</v>
      </c>
      <c r="M83" s="50">
        <f>L83+C83</f>
        <v>142</v>
      </c>
      <c r="N83" s="226"/>
      <c r="O83" s="227"/>
      <c r="P83" s="98">
        <v>128</v>
      </c>
      <c r="Q83" s="50">
        <f>P83+C83</f>
        <v>172</v>
      </c>
      <c r="R83" s="226"/>
      <c r="S83" s="227"/>
      <c r="T83" s="98">
        <v>126</v>
      </c>
      <c r="U83" s="50">
        <f>T83+C83</f>
        <v>170</v>
      </c>
      <c r="V83" s="226"/>
      <c r="W83" s="227"/>
      <c r="X83" s="46">
        <f t="shared" si="2"/>
        <v>744</v>
      </c>
      <c r="Y83" s="106">
        <f>D83+H83+L83+P83+T83</f>
        <v>524</v>
      </c>
      <c r="Z83" s="67">
        <f>AVERAGE(E83,I83,M83,Q83,U83)</f>
        <v>148.8</v>
      </c>
      <c r="AA83" s="143">
        <f>AVERAGE(E83,I83,M83,Q83,U83)-C83</f>
        <v>104.80000000000001</v>
      </c>
      <c r="AB83" s="220"/>
    </row>
    <row r="84" spans="1:28" s="38" customFormat="1" ht="15.75" customHeight="1" thickBot="1">
      <c r="A84" s="229" t="s">
        <v>169</v>
      </c>
      <c r="B84" s="230"/>
      <c r="C84" s="151">
        <v>58</v>
      </c>
      <c r="D84" s="60">
        <v>106</v>
      </c>
      <c r="E84" s="50">
        <f>D84+C84</f>
        <v>164</v>
      </c>
      <c r="F84" s="204"/>
      <c r="G84" s="228"/>
      <c r="H84" s="99">
        <v>108</v>
      </c>
      <c r="I84" s="46">
        <f>H84+C84</f>
        <v>166</v>
      </c>
      <c r="J84" s="204"/>
      <c r="K84" s="228"/>
      <c r="L84" s="99">
        <v>138</v>
      </c>
      <c r="M84" s="50">
        <f>L84+C84</f>
        <v>196</v>
      </c>
      <c r="N84" s="204"/>
      <c r="O84" s="228"/>
      <c r="P84" s="99">
        <v>119</v>
      </c>
      <c r="Q84" s="50">
        <f>P84+C84</f>
        <v>177</v>
      </c>
      <c r="R84" s="204"/>
      <c r="S84" s="228"/>
      <c r="T84" s="99">
        <v>168</v>
      </c>
      <c r="U84" s="50">
        <f>T84+C84</f>
        <v>226</v>
      </c>
      <c r="V84" s="204"/>
      <c r="W84" s="228"/>
      <c r="X84" s="47">
        <f t="shared" si="2"/>
        <v>929</v>
      </c>
      <c r="Y84" s="107">
        <f>D84+H84+L84+P84+T84</f>
        <v>639</v>
      </c>
      <c r="Z84" s="68">
        <f>AVERAGE(E84,I84,M84,Q84,U84)</f>
        <v>185.8</v>
      </c>
      <c r="AA84" s="144">
        <f>AVERAGE(E84,I84,M84,Q84,U84)-C84</f>
        <v>127.80000000000001</v>
      </c>
      <c r="AB84" s="221"/>
    </row>
    <row r="85" spans="1:28" s="38" customFormat="1" ht="42" customHeight="1">
      <c r="A85" s="217" t="s">
        <v>233</v>
      </c>
      <c r="B85" s="218"/>
      <c r="C85" s="149">
        <f>SUM(C86:C88)</f>
        <v>88</v>
      </c>
      <c r="D85" s="62">
        <f>SUM(D86:D88)</f>
        <v>471</v>
      </c>
      <c r="E85" s="45">
        <f>SUM(E86:E88)</f>
        <v>559</v>
      </c>
      <c r="F85" s="45">
        <f>E65</f>
        <v>493</v>
      </c>
      <c r="G85" s="42" t="str">
        <f>A65</f>
        <v>A.E.J.</v>
      </c>
      <c r="H85" s="62">
        <f>SUM(H86:H88)</f>
        <v>536</v>
      </c>
      <c r="I85" s="45">
        <f>SUM(I86:I88)</f>
        <v>624</v>
      </c>
      <c r="J85" s="45">
        <f>I73</f>
        <v>603</v>
      </c>
      <c r="K85" s="42" t="str">
        <f>A73</f>
        <v>Holst/ Malmberg</v>
      </c>
      <c r="L85" s="133">
        <f>SUM(L86:L88)</f>
        <v>438</v>
      </c>
      <c r="M85" s="49">
        <f>SUM(M86:M88)</f>
        <v>526</v>
      </c>
      <c r="N85" s="45">
        <f>M81</f>
        <v>489</v>
      </c>
      <c r="O85" s="42" t="str">
        <f>A81</f>
        <v>T.E.M.</v>
      </c>
      <c r="P85" s="45">
        <f>SUM(P86:P88)</f>
        <v>555</v>
      </c>
      <c r="Q85" s="49">
        <f>SUM(Q86:Q88)</f>
        <v>643</v>
      </c>
      <c r="R85" s="45">
        <f>Q69</f>
        <v>534</v>
      </c>
      <c r="S85" s="42" t="str">
        <f>A69</f>
        <v>SADO</v>
      </c>
      <c r="T85" s="133">
        <f>SUM(T86:T88)</f>
        <v>387</v>
      </c>
      <c r="U85" s="49">
        <f>SUM(U86:U88)</f>
        <v>475</v>
      </c>
      <c r="V85" s="45">
        <f>U77</f>
        <v>527</v>
      </c>
      <c r="W85" s="42" t="str">
        <f>A77</f>
        <v>PLANRAY</v>
      </c>
      <c r="X85" s="36">
        <f t="shared" si="2"/>
        <v>2827</v>
      </c>
      <c r="Y85" s="105">
        <f>SUM(Y86:Y88)</f>
        <v>2387</v>
      </c>
      <c r="Z85" s="65">
        <f>AVERAGE(Z86,Z87,Z88)</f>
        <v>188.46666666666667</v>
      </c>
      <c r="AA85" s="142">
        <f>AVERAGE(AA86,AA87,AA88)</f>
        <v>159.13333333333333</v>
      </c>
      <c r="AB85" s="219">
        <f>F86+J86+N86+R86+V86</f>
        <v>4</v>
      </c>
    </row>
    <row r="86" spans="1:28" s="38" customFormat="1" ht="15.75" customHeight="1">
      <c r="A86" s="222" t="s">
        <v>234</v>
      </c>
      <c r="B86" s="223"/>
      <c r="C86" s="150">
        <v>26</v>
      </c>
      <c r="D86" s="59">
        <v>149</v>
      </c>
      <c r="E86" s="50">
        <f>D86+C86</f>
        <v>175</v>
      </c>
      <c r="F86" s="224">
        <f>IF(E85=0,"",IF(E85&gt;F85,1,IF(E85=F85,0.5,0)))</f>
        <v>1</v>
      </c>
      <c r="G86" s="225"/>
      <c r="H86" s="97">
        <v>173</v>
      </c>
      <c r="I86" s="46">
        <f>H86+C86</f>
        <v>199</v>
      </c>
      <c r="J86" s="224">
        <v>1</v>
      </c>
      <c r="K86" s="225"/>
      <c r="L86" s="97">
        <v>135</v>
      </c>
      <c r="M86" s="50">
        <f>L86+C86</f>
        <v>161</v>
      </c>
      <c r="N86" s="224">
        <v>1</v>
      </c>
      <c r="O86" s="225"/>
      <c r="P86" s="97">
        <v>181</v>
      </c>
      <c r="Q86" s="50">
        <f>P86+C86</f>
        <v>207</v>
      </c>
      <c r="R86" s="224">
        <v>1</v>
      </c>
      <c r="S86" s="225"/>
      <c r="T86" s="97">
        <v>136</v>
      </c>
      <c r="U86" s="50">
        <f>T86+C86</f>
        <v>162</v>
      </c>
      <c r="V86" s="224">
        <v>0</v>
      </c>
      <c r="W86" s="225"/>
      <c r="X86" s="46">
        <f t="shared" si="2"/>
        <v>904</v>
      </c>
      <c r="Y86" s="106">
        <f>D86+H86+L86+P86+T86</f>
        <v>774</v>
      </c>
      <c r="Z86" s="67">
        <f>AVERAGE(E86,I86,M86,Q86,U86)</f>
        <v>180.8</v>
      </c>
      <c r="AA86" s="143">
        <f>AVERAGE(E86,I86,M86,Q86,U86)-C86</f>
        <v>154.8</v>
      </c>
      <c r="AB86" s="220"/>
    </row>
    <row r="87" spans="1:28" s="38" customFormat="1" ht="15.75" customHeight="1">
      <c r="A87" s="222" t="s">
        <v>235</v>
      </c>
      <c r="B87" s="223"/>
      <c r="C87" s="150">
        <v>42</v>
      </c>
      <c r="D87" s="59">
        <v>165</v>
      </c>
      <c r="E87" s="50">
        <f>D87+C87</f>
        <v>207</v>
      </c>
      <c r="F87" s="226"/>
      <c r="G87" s="227"/>
      <c r="H87" s="98">
        <v>156</v>
      </c>
      <c r="I87" s="46">
        <f>H87+C87</f>
        <v>198</v>
      </c>
      <c r="J87" s="226"/>
      <c r="K87" s="227"/>
      <c r="L87" s="98">
        <v>127</v>
      </c>
      <c r="M87" s="50">
        <f>L87+C87</f>
        <v>169</v>
      </c>
      <c r="N87" s="226"/>
      <c r="O87" s="227"/>
      <c r="P87" s="98">
        <v>147</v>
      </c>
      <c r="Q87" s="50">
        <f>P87+C87</f>
        <v>189</v>
      </c>
      <c r="R87" s="226"/>
      <c r="S87" s="227"/>
      <c r="T87" s="98">
        <v>91</v>
      </c>
      <c r="U87" s="50">
        <f>T87+C87</f>
        <v>133</v>
      </c>
      <c r="V87" s="226"/>
      <c r="W87" s="227"/>
      <c r="X87" s="46">
        <f t="shared" si="2"/>
        <v>896</v>
      </c>
      <c r="Y87" s="106">
        <f>D87+H87+L87+P87+T87</f>
        <v>686</v>
      </c>
      <c r="Z87" s="67">
        <f>AVERAGE(E87,I87,M87,Q87,U87)</f>
        <v>179.2</v>
      </c>
      <c r="AA87" s="143">
        <f>AVERAGE(E87,I87,M87,Q87,U87)-C87</f>
        <v>137.2</v>
      </c>
      <c r="AB87" s="220"/>
    </row>
    <row r="88" spans="1:28" s="38" customFormat="1" ht="15.75" customHeight="1" thickBot="1">
      <c r="A88" s="229" t="s">
        <v>236</v>
      </c>
      <c r="B88" s="230"/>
      <c r="C88" s="151">
        <v>20</v>
      </c>
      <c r="D88" s="60">
        <v>157</v>
      </c>
      <c r="E88" s="50">
        <f>D88+C88</f>
        <v>177</v>
      </c>
      <c r="F88" s="204"/>
      <c r="G88" s="228"/>
      <c r="H88" s="99">
        <v>207</v>
      </c>
      <c r="I88" s="46">
        <f>H88+C88</f>
        <v>227</v>
      </c>
      <c r="J88" s="204"/>
      <c r="K88" s="228"/>
      <c r="L88" s="99">
        <v>176</v>
      </c>
      <c r="M88" s="50">
        <f>L88+C88</f>
        <v>196</v>
      </c>
      <c r="N88" s="204"/>
      <c r="O88" s="228"/>
      <c r="P88" s="99">
        <v>227</v>
      </c>
      <c r="Q88" s="50">
        <f>P88+C88</f>
        <v>247</v>
      </c>
      <c r="R88" s="204"/>
      <c r="S88" s="228"/>
      <c r="T88" s="99">
        <v>160</v>
      </c>
      <c r="U88" s="50">
        <f>T88+C88</f>
        <v>180</v>
      </c>
      <c r="V88" s="204"/>
      <c r="W88" s="228"/>
      <c r="X88" s="47">
        <f t="shared" si="2"/>
        <v>1027</v>
      </c>
      <c r="Y88" s="107">
        <f>D88+H88+L88+P88+T88</f>
        <v>927</v>
      </c>
      <c r="Z88" s="68">
        <f>AVERAGE(E88,I88,M88,Q88,U88)</f>
        <v>205.4</v>
      </c>
      <c r="AA88" s="144">
        <f>AVERAGE(E88,I88,M88,Q88,U88)-C88</f>
        <v>185.4</v>
      </c>
      <c r="AB88" s="221"/>
    </row>
    <row r="89" spans="1:28" s="40" customFormat="1" ht="9" customHeight="1">
      <c r="A89" s="207" t="s">
        <v>338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4"/>
      <c r="W89" s="25"/>
      <c r="Y89" s="57"/>
      <c r="Z89" s="41"/>
      <c r="AA89" s="139"/>
      <c r="AB89" s="25"/>
    </row>
    <row r="90" spans="1:28" s="40" customFormat="1" ht="6" customHeight="1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4"/>
      <c r="W90" s="25"/>
      <c r="Y90" s="57"/>
      <c r="Z90" s="41"/>
      <c r="AA90" s="139"/>
      <c r="AB90" s="25"/>
    </row>
    <row r="91" spans="1:28" s="40" customFormat="1" ht="23.2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5"/>
      <c r="W91" s="25"/>
      <c r="Y91" s="57"/>
      <c r="Z91" s="41"/>
      <c r="AA91" s="139"/>
      <c r="AB91" s="25"/>
    </row>
    <row r="92" spans="1:28" s="31" customFormat="1" ht="15.75" customHeight="1">
      <c r="A92" s="209" t="s">
        <v>0</v>
      </c>
      <c r="B92" s="210"/>
      <c r="C92" s="147" t="s">
        <v>39</v>
      </c>
      <c r="D92" s="55"/>
      <c r="E92" s="27" t="s">
        <v>1</v>
      </c>
      <c r="F92" s="211" t="s">
        <v>2</v>
      </c>
      <c r="G92" s="212"/>
      <c r="H92" s="94"/>
      <c r="I92" s="27" t="s">
        <v>3</v>
      </c>
      <c r="J92" s="211" t="s">
        <v>2</v>
      </c>
      <c r="K92" s="212"/>
      <c r="L92" s="94"/>
      <c r="M92" s="27" t="s">
        <v>4</v>
      </c>
      <c r="N92" s="211" t="s">
        <v>2</v>
      </c>
      <c r="O92" s="212"/>
      <c r="P92" s="94"/>
      <c r="Q92" s="27" t="s">
        <v>5</v>
      </c>
      <c r="R92" s="211" t="s">
        <v>2</v>
      </c>
      <c r="S92" s="212"/>
      <c r="T92" s="94"/>
      <c r="U92" s="27" t="s">
        <v>6</v>
      </c>
      <c r="V92" s="211" t="s">
        <v>2</v>
      </c>
      <c r="W92" s="212"/>
      <c r="X92" s="28" t="s">
        <v>7</v>
      </c>
      <c r="Y92" s="104"/>
      <c r="Z92" s="29" t="s">
        <v>40</v>
      </c>
      <c r="AA92" s="140" t="s">
        <v>42</v>
      </c>
      <c r="AB92" s="30" t="s">
        <v>7</v>
      </c>
    </row>
    <row r="93" spans="1:28" s="31" customFormat="1" ht="15.75" customHeight="1" thickBot="1">
      <c r="A93" s="213" t="s">
        <v>9</v>
      </c>
      <c r="B93" s="214"/>
      <c r="C93" s="148"/>
      <c r="D93" s="56"/>
      <c r="E93" s="32" t="s">
        <v>10</v>
      </c>
      <c r="F93" s="211" t="s">
        <v>11</v>
      </c>
      <c r="G93" s="212"/>
      <c r="H93" s="95"/>
      <c r="I93" s="32" t="s">
        <v>10</v>
      </c>
      <c r="J93" s="215" t="s">
        <v>11</v>
      </c>
      <c r="K93" s="216"/>
      <c r="L93" s="95"/>
      <c r="M93" s="32" t="s">
        <v>10</v>
      </c>
      <c r="N93" s="215" t="s">
        <v>11</v>
      </c>
      <c r="O93" s="216"/>
      <c r="P93" s="95"/>
      <c r="Q93" s="32" t="s">
        <v>10</v>
      </c>
      <c r="R93" s="215" t="s">
        <v>11</v>
      </c>
      <c r="S93" s="216"/>
      <c r="T93" s="95"/>
      <c r="U93" s="32" t="s">
        <v>10</v>
      </c>
      <c r="V93" s="215" t="s">
        <v>11</v>
      </c>
      <c r="W93" s="216"/>
      <c r="X93" s="33" t="s">
        <v>10</v>
      </c>
      <c r="Y93" s="134" t="s">
        <v>287</v>
      </c>
      <c r="Z93" s="34" t="s">
        <v>41</v>
      </c>
      <c r="AA93" s="141" t="s">
        <v>43</v>
      </c>
      <c r="AB93" s="35" t="s">
        <v>12</v>
      </c>
    </row>
    <row r="94" spans="1:28" s="38" customFormat="1" ht="42" customHeight="1">
      <c r="A94" s="217" t="s">
        <v>173</v>
      </c>
      <c r="B94" s="218"/>
      <c r="C94" s="149">
        <f>SUM(C95:C97)</f>
        <v>97</v>
      </c>
      <c r="D94" s="62">
        <f>SUM(D95:D97)</f>
        <v>467</v>
      </c>
      <c r="E94" s="63">
        <f>SUM(E95:E97)</f>
        <v>564</v>
      </c>
      <c r="F94" s="46">
        <f>E114</f>
        <v>515</v>
      </c>
      <c r="G94" s="64" t="str">
        <f>A114</f>
        <v>Näpi Saeveski</v>
      </c>
      <c r="H94" s="62">
        <f>SUM(H95:H97)</f>
        <v>447</v>
      </c>
      <c r="I94" s="49">
        <f>SUM(I95:I97)</f>
        <v>544</v>
      </c>
      <c r="J94" s="49">
        <f>I110</f>
        <v>477</v>
      </c>
      <c r="K94" s="42" t="str">
        <f>A110</f>
        <v>FEB</v>
      </c>
      <c r="L94" s="58">
        <f>SUM(L95:L97)</f>
        <v>457</v>
      </c>
      <c r="M94" s="45">
        <f>SUM(M95:M97)</f>
        <v>554</v>
      </c>
      <c r="N94" s="45">
        <f>M106</f>
        <v>588</v>
      </c>
      <c r="O94" s="42" t="str">
        <f>A106</f>
        <v>Uus Maa</v>
      </c>
      <c r="P94" s="45">
        <f>SUM(P95:P97)</f>
        <v>446</v>
      </c>
      <c r="Q94" s="45">
        <f>SUM(Q95:Q97)</f>
        <v>543</v>
      </c>
      <c r="R94" s="45">
        <f>Q102</f>
        <v>472</v>
      </c>
      <c r="S94" s="42" t="str">
        <f>A102</f>
        <v>Linnaking</v>
      </c>
      <c r="T94" s="133">
        <f>SUM(T95:T97)</f>
        <v>426</v>
      </c>
      <c r="U94" s="45">
        <f>SUM(U95:U97)</f>
        <v>523</v>
      </c>
      <c r="V94" s="45">
        <f>U98</f>
        <v>520</v>
      </c>
      <c r="W94" s="42" t="str">
        <f>A98</f>
        <v>Rakvere Soojus</v>
      </c>
      <c r="X94" s="36">
        <f aca="true" t="shared" si="3" ref="X94:X117">E94+I94+M94+Q94+U94</f>
        <v>2728</v>
      </c>
      <c r="Y94" s="105">
        <f>SUM(Y95:Y97)</f>
        <v>2243</v>
      </c>
      <c r="Z94" s="37">
        <f>AVERAGE(Z95,Z96,Z97)</f>
        <v>181.86666666666667</v>
      </c>
      <c r="AA94" s="142">
        <f>AVERAGE(AA95,AA96,AA97)</f>
        <v>149.53333333333333</v>
      </c>
      <c r="AB94" s="219">
        <f>F95+J95+N95+R95+V95</f>
        <v>4</v>
      </c>
    </row>
    <row r="95" spans="1:28" s="38" customFormat="1" ht="15.75" customHeight="1">
      <c r="A95" s="222" t="s">
        <v>188</v>
      </c>
      <c r="B95" s="223"/>
      <c r="C95" s="150">
        <v>50</v>
      </c>
      <c r="D95" s="59">
        <v>142</v>
      </c>
      <c r="E95" s="50">
        <f>D95+C95</f>
        <v>192</v>
      </c>
      <c r="F95" s="224">
        <v>1</v>
      </c>
      <c r="G95" s="225"/>
      <c r="H95" s="97">
        <v>124</v>
      </c>
      <c r="I95" s="46">
        <f>H95+C95</f>
        <v>174</v>
      </c>
      <c r="J95" s="224">
        <v>1</v>
      </c>
      <c r="K95" s="225"/>
      <c r="L95" s="97">
        <v>113</v>
      </c>
      <c r="M95" s="50">
        <f>L95+C95</f>
        <v>163</v>
      </c>
      <c r="N95" s="224">
        <v>0</v>
      </c>
      <c r="O95" s="225"/>
      <c r="P95" s="97">
        <v>112</v>
      </c>
      <c r="Q95" s="50">
        <f>P95+C95</f>
        <v>162</v>
      </c>
      <c r="R95" s="224">
        <v>1</v>
      </c>
      <c r="S95" s="225"/>
      <c r="T95" s="97">
        <v>140</v>
      </c>
      <c r="U95" s="50">
        <f>T95+C95</f>
        <v>190</v>
      </c>
      <c r="V95" s="224">
        <v>1</v>
      </c>
      <c r="W95" s="225"/>
      <c r="X95" s="46">
        <f t="shared" si="3"/>
        <v>881</v>
      </c>
      <c r="Y95" s="106">
        <f>D95+H95+L95+P95+T95</f>
        <v>631</v>
      </c>
      <c r="Z95" s="67">
        <f>AVERAGE(E95,I95,M95,Q95,U95)</f>
        <v>176.2</v>
      </c>
      <c r="AA95" s="143">
        <f>AVERAGE(E95,I95,M95,Q95,U95)-C95</f>
        <v>126.19999999999999</v>
      </c>
      <c r="AB95" s="220"/>
    </row>
    <row r="96" spans="1:28" s="38" customFormat="1" ht="15.75" customHeight="1">
      <c r="A96" s="222" t="s">
        <v>190</v>
      </c>
      <c r="B96" s="223"/>
      <c r="C96" s="150">
        <v>18</v>
      </c>
      <c r="D96" s="59">
        <v>154</v>
      </c>
      <c r="E96" s="50">
        <f>D96+C96</f>
        <v>172</v>
      </c>
      <c r="F96" s="226"/>
      <c r="G96" s="227"/>
      <c r="H96" s="98">
        <v>156</v>
      </c>
      <c r="I96" s="46">
        <f>H96+C96</f>
        <v>174</v>
      </c>
      <c r="J96" s="226"/>
      <c r="K96" s="227"/>
      <c r="L96" s="98">
        <v>155</v>
      </c>
      <c r="M96" s="50">
        <f>L96+C96</f>
        <v>173</v>
      </c>
      <c r="N96" s="226"/>
      <c r="O96" s="227"/>
      <c r="P96" s="98">
        <v>173</v>
      </c>
      <c r="Q96" s="50">
        <f>P96+C96</f>
        <v>191</v>
      </c>
      <c r="R96" s="226"/>
      <c r="S96" s="227"/>
      <c r="T96" s="98">
        <v>136</v>
      </c>
      <c r="U96" s="50">
        <f>T96+C96</f>
        <v>154</v>
      </c>
      <c r="V96" s="226"/>
      <c r="W96" s="227"/>
      <c r="X96" s="46">
        <f t="shared" si="3"/>
        <v>864</v>
      </c>
      <c r="Y96" s="106">
        <f>D96+H96+L96+P96+T96</f>
        <v>774</v>
      </c>
      <c r="Z96" s="67">
        <f>AVERAGE(E96,I96,M96,Q96,U96)</f>
        <v>172.8</v>
      </c>
      <c r="AA96" s="143">
        <f>AVERAGE(E96,I96,M96,Q96,U96)-C96</f>
        <v>154.8</v>
      </c>
      <c r="AB96" s="220"/>
    </row>
    <row r="97" spans="1:28" s="38" customFormat="1" ht="16.5" customHeight="1" thickBot="1">
      <c r="A97" s="229" t="s">
        <v>279</v>
      </c>
      <c r="B97" s="230"/>
      <c r="C97" s="151">
        <v>29</v>
      </c>
      <c r="D97" s="60">
        <v>171</v>
      </c>
      <c r="E97" s="50">
        <f>D97+C97</f>
        <v>200</v>
      </c>
      <c r="F97" s="204"/>
      <c r="G97" s="228"/>
      <c r="H97" s="99">
        <v>167</v>
      </c>
      <c r="I97" s="46">
        <f>H97+C97</f>
        <v>196</v>
      </c>
      <c r="J97" s="204"/>
      <c r="K97" s="228"/>
      <c r="L97" s="99">
        <v>189</v>
      </c>
      <c r="M97" s="50">
        <f>L97+C97</f>
        <v>218</v>
      </c>
      <c r="N97" s="204"/>
      <c r="O97" s="228"/>
      <c r="P97" s="99">
        <v>161</v>
      </c>
      <c r="Q97" s="50">
        <f>P97+C97</f>
        <v>190</v>
      </c>
      <c r="R97" s="204"/>
      <c r="S97" s="228"/>
      <c r="T97" s="99">
        <v>150</v>
      </c>
      <c r="U97" s="50">
        <f>T97+C97</f>
        <v>179</v>
      </c>
      <c r="V97" s="204"/>
      <c r="W97" s="228"/>
      <c r="X97" s="47">
        <f t="shared" si="3"/>
        <v>983</v>
      </c>
      <c r="Y97" s="107">
        <f>D97+H97+L97+P97+T97</f>
        <v>838</v>
      </c>
      <c r="Z97" s="68">
        <f>AVERAGE(E97,I97,M97,Q97,U97)</f>
        <v>196.6</v>
      </c>
      <c r="AA97" s="144">
        <f>AVERAGE(E97,I97,M97,Q97,U97)-C97</f>
        <v>167.6</v>
      </c>
      <c r="AB97" s="221"/>
    </row>
    <row r="98" spans="1:28" s="38" customFormat="1" ht="41.25" customHeight="1">
      <c r="A98" s="217" t="s">
        <v>249</v>
      </c>
      <c r="B98" s="218"/>
      <c r="C98" s="149">
        <f>SUM(C99:C101)</f>
        <v>114</v>
      </c>
      <c r="D98" s="62">
        <f>SUM(D99:D101)</f>
        <v>369</v>
      </c>
      <c r="E98" s="45">
        <f>SUM(E99:E101)</f>
        <v>483</v>
      </c>
      <c r="F98" s="45">
        <f>E110</f>
        <v>486</v>
      </c>
      <c r="G98" s="42" t="str">
        <f>A110</f>
        <v>FEB</v>
      </c>
      <c r="H98" s="62">
        <f>SUM(H99:H101)</f>
        <v>403</v>
      </c>
      <c r="I98" s="45">
        <f>SUM(I99:I101)</f>
        <v>517</v>
      </c>
      <c r="J98" s="45">
        <f>I106</f>
        <v>557</v>
      </c>
      <c r="K98" s="42" t="str">
        <f>A106</f>
        <v>Uus Maa</v>
      </c>
      <c r="L98" s="133">
        <f>SUM(L99:L101)</f>
        <v>401</v>
      </c>
      <c r="M98" s="49">
        <f>SUM(M99:M101)</f>
        <v>515</v>
      </c>
      <c r="N98" s="45">
        <f>M102</f>
        <v>496</v>
      </c>
      <c r="O98" s="42" t="str">
        <f>A102</f>
        <v>Linnaking</v>
      </c>
      <c r="P98" s="45">
        <f>SUM(P99:P101)</f>
        <v>468</v>
      </c>
      <c r="Q98" s="49">
        <f>SUM(Q99:Q101)</f>
        <v>582</v>
      </c>
      <c r="R98" s="45">
        <f>Q114</f>
        <v>455</v>
      </c>
      <c r="S98" s="42" t="str">
        <f>A114</f>
        <v>Näpi Saeveski</v>
      </c>
      <c r="T98" s="133">
        <f>SUM(T99:T101)</f>
        <v>406</v>
      </c>
      <c r="U98" s="49">
        <f>SUM(U99:U101)</f>
        <v>520</v>
      </c>
      <c r="V98" s="45">
        <f>U94</f>
        <v>523</v>
      </c>
      <c r="W98" s="42" t="str">
        <f>A94</f>
        <v>Vest-Wood 1</v>
      </c>
      <c r="X98" s="36">
        <f t="shared" si="3"/>
        <v>2617</v>
      </c>
      <c r="Y98" s="105">
        <f>SUM(Y99:Y101)</f>
        <v>2047</v>
      </c>
      <c r="Z98" s="65">
        <f>AVERAGE(Z99,Z100,Z101)</f>
        <v>174.4666666666667</v>
      </c>
      <c r="AA98" s="142">
        <f>AVERAGE(AA99,AA100,AA101)</f>
        <v>136.46666666666667</v>
      </c>
      <c r="AB98" s="219">
        <f>F99+J99+N99+R99+V99</f>
        <v>2</v>
      </c>
    </row>
    <row r="99" spans="1:28" s="38" customFormat="1" ht="15.75" customHeight="1">
      <c r="A99" s="222" t="s">
        <v>259</v>
      </c>
      <c r="B99" s="223"/>
      <c r="C99" s="150">
        <v>48</v>
      </c>
      <c r="D99" s="59">
        <v>95</v>
      </c>
      <c r="E99" s="50">
        <f>D99+C99</f>
        <v>143</v>
      </c>
      <c r="F99" s="224">
        <v>0</v>
      </c>
      <c r="G99" s="225"/>
      <c r="H99" s="97">
        <v>111</v>
      </c>
      <c r="I99" s="46">
        <f>H99+C99</f>
        <v>159</v>
      </c>
      <c r="J99" s="224">
        <v>0</v>
      </c>
      <c r="K99" s="225"/>
      <c r="L99" s="97">
        <v>101</v>
      </c>
      <c r="M99" s="50">
        <f>L99+C99</f>
        <v>149</v>
      </c>
      <c r="N99" s="224">
        <v>1</v>
      </c>
      <c r="O99" s="225"/>
      <c r="P99" s="97">
        <v>118</v>
      </c>
      <c r="Q99" s="50">
        <f>P99+C99</f>
        <v>166</v>
      </c>
      <c r="R99" s="224">
        <v>1</v>
      </c>
      <c r="S99" s="225"/>
      <c r="T99" s="97">
        <v>105</v>
      </c>
      <c r="U99" s="50">
        <f>T99+C99</f>
        <v>153</v>
      </c>
      <c r="V99" s="224">
        <v>0</v>
      </c>
      <c r="W99" s="225"/>
      <c r="X99" s="46">
        <f t="shared" si="3"/>
        <v>770</v>
      </c>
      <c r="Y99" s="106">
        <f>D99+H99+L99+P99+T99</f>
        <v>530</v>
      </c>
      <c r="Z99" s="67">
        <f>AVERAGE(E99,I99,M99,Q99,U99)</f>
        <v>154</v>
      </c>
      <c r="AA99" s="143">
        <f>AVERAGE(E99,I99,M99,Q99,U99)-C99</f>
        <v>106</v>
      </c>
      <c r="AB99" s="220"/>
    </row>
    <row r="100" spans="1:28" s="38" customFormat="1" ht="15.75" customHeight="1">
      <c r="A100" s="222" t="s">
        <v>252</v>
      </c>
      <c r="B100" s="223"/>
      <c r="C100" s="150">
        <v>28</v>
      </c>
      <c r="D100" s="59">
        <v>104</v>
      </c>
      <c r="E100" s="50">
        <f>D100+C100</f>
        <v>132</v>
      </c>
      <c r="F100" s="226"/>
      <c r="G100" s="227"/>
      <c r="H100" s="98">
        <v>166</v>
      </c>
      <c r="I100" s="46">
        <f>H100+C100</f>
        <v>194</v>
      </c>
      <c r="J100" s="226"/>
      <c r="K100" s="227"/>
      <c r="L100" s="98">
        <v>150</v>
      </c>
      <c r="M100" s="50">
        <f>L100+C100</f>
        <v>178</v>
      </c>
      <c r="N100" s="226"/>
      <c r="O100" s="227"/>
      <c r="P100" s="98">
        <v>177</v>
      </c>
      <c r="Q100" s="50">
        <f>P100+C100</f>
        <v>205</v>
      </c>
      <c r="R100" s="226"/>
      <c r="S100" s="227"/>
      <c r="T100" s="98">
        <v>151</v>
      </c>
      <c r="U100" s="50">
        <f>T100+C100</f>
        <v>179</v>
      </c>
      <c r="V100" s="226"/>
      <c r="W100" s="227"/>
      <c r="X100" s="46">
        <f t="shared" si="3"/>
        <v>888</v>
      </c>
      <c r="Y100" s="106">
        <f>D100+H100+L100+P100+T100</f>
        <v>748</v>
      </c>
      <c r="Z100" s="67">
        <f>AVERAGE(E100,I100,M100,Q100,U100)</f>
        <v>177.6</v>
      </c>
      <c r="AA100" s="143">
        <f>AVERAGE(E100,I100,M100,Q100,U100)-C100</f>
        <v>149.6</v>
      </c>
      <c r="AB100" s="220"/>
    </row>
    <row r="101" spans="1:28" s="38" customFormat="1" ht="15.75" customHeight="1" thickBot="1">
      <c r="A101" s="229" t="s">
        <v>250</v>
      </c>
      <c r="B101" s="230"/>
      <c r="C101" s="151">
        <v>38</v>
      </c>
      <c r="D101" s="60">
        <v>170</v>
      </c>
      <c r="E101" s="50">
        <f>D101+C101</f>
        <v>208</v>
      </c>
      <c r="F101" s="204"/>
      <c r="G101" s="228"/>
      <c r="H101" s="99">
        <v>126</v>
      </c>
      <c r="I101" s="46">
        <f>H101+C101</f>
        <v>164</v>
      </c>
      <c r="J101" s="204"/>
      <c r="K101" s="228"/>
      <c r="L101" s="99">
        <v>150</v>
      </c>
      <c r="M101" s="50">
        <f>L101+C101</f>
        <v>188</v>
      </c>
      <c r="N101" s="204"/>
      <c r="O101" s="228"/>
      <c r="P101" s="99">
        <v>173</v>
      </c>
      <c r="Q101" s="50">
        <f>P101+C101</f>
        <v>211</v>
      </c>
      <c r="R101" s="204"/>
      <c r="S101" s="228"/>
      <c r="T101" s="99">
        <v>150</v>
      </c>
      <c r="U101" s="50">
        <f>T101+C101</f>
        <v>188</v>
      </c>
      <c r="V101" s="204"/>
      <c r="W101" s="228"/>
      <c r="X101" s="47">
        <f t="shared" si="3"/>
        <v>959</v>
      </c>
      <c r="Y101" s="107">
        <f>D101+H101+L101+P101+T101</f>
        <v>769</v>
      </c>
      <c r="Z101" s="68">
        <f>AVERAGE(E101,I101,M101,Q101,U101)</f>
        <v>191.8</v>
      </c>
      <c r="AA101" s="144">
        <f>AVERAGE(E101,I101,M101,Q101,U101)-C101</f>
        <v>153.8</v>
      </c>
      <c r="AB101" s="221"/>
    </row>
    <row r="102" spans="1:28" s="38" customFormat="1" ht="47.25" customHeight="1">
      <c r="A102" s="217" t="s">
        <v>165</v>
      </c>
      <c r="B102" s="218"/>
      <c r="C102" s="149">
        <f>SUM(C103:C105)</f>
        <v>131</v>
      </c>
      <c r="D102" s="62">
        <f>SUM(D103:D105)</f>
        <v>366</v>
      </c>
      <c r="E102" s="45">
        <f>SUM(E103:E105)</f>
        <v>497</v>
      </c>
      <c r="F102" s="45">
        <f>E106</f>
        <v>575</v>
      </c>
      <c r="G102" s="42" t="str">
        <f>A106</f>
        <v>Uus Maa</v>
      </c>
      <c r="H102" s="62">
        <f>SUM(H103:H105)</f>
        <v>397</v>
      </c>
      <c r="I102" s="45">
        <f>SUM(I103:I105)</f>
        <v>528</v>
      </c>
      <c r="J102" s="45">
        <f>I114</f>
        <v>527</v>
      </c>
      <c r="K102" s="42" t="str">
        <f>A114</f>
        <v>Näpi Saeveski</v>
      </c>
      <c r="L102" s="133">
        <f>SUM(L103:L105)</f>
        <v>365</v>
      </c>
      <c r="M102" s="69">
        <f>SUM(M103:M105)</f>
        <v>496</v>
      </c>
      <c r="N102" s="45">
        <f>M98</f>
        <v>515</v>
      </c>
      <c r="O102" s="42" t="str">
        <f>A98</f>
        <v>Rakvere Soojus</v>
      </c>
      <c r="P102" s="45">
        <f>SUM(P103:P105)</f>
        <v>341</v>
      </c>
      <c r="Q102" s="49">
        <f>SUM(Q103:Q105)</f>
        <v>472</v>
      </c>
      <c r="R102" s="45">
        <f>Q94</f>
        <v>543</v>
      </c>
      <c r="S102" s="42" t="str">
        <f>A94</f>
        <v>Vest-Wood 1</v>
      </c>
      <c r="T102" s="133">
        <f>SUM(T103:T105)</f>
        <v>378</v>
      </c>
      <c r="U102" s="69">
        <f>SUM(U103:U105)</f>
        <v>509</v>
      </c>
      <c r="V102" s="45">
        <f>U110</f>
        <v>499</v>
      </c>
      <c r="W102" s="42" t="str">
        <f>A110</f>
        <v>FEB</v>
      </c>
      <c r="X102" s="36">
        <f t="shared" si="3"/>
        <v>2502</v>
      </c>
      <c r="Y102" s="105">
        <f>SUM(Y103:Y105)</f>
        <v>1847</v>
      </c>
      <c r="Z102" s="65">
        <f>AVERAGE(Z103,Z104,Z105)</f>
        <v>166.79999999999998</v>
      </c>
      <c r="AA102" s="142">
        <f>AVERAGE(AA103,AA104,AA105)</f>
        <v>123.13333333333333</v>
      </c>
      <c r="AB102" s="219">
        <f>F103+J103+N103+R103+V103</f>
        <v>2</v>
      </c>
    </row>
    <row r="103" spans="1:28" s="38" customFormat="1" ht="15.75" customHeight="1">
      <c r="A103" s="222" t="s">
        <v>141</v>
      </c>
      <c r="B103" s="223"/>
      <c r="C103" s="150">
        <v>39</v>
      </c>
      <c r="D103" s="59">
        <v>157</v>
      </c>
      <c r="E103" s="50">
        <f>D103+C103</f>
        <v>196</v>
      </c>
      <c r="F103" s="224">
        <v>0</v>
      </c>
      <c r="G103" s="225"/>
      <c r="H103" s="97">
        <v>132</v>
      </c>
      <c r="I103" s="46">
        <f>H103+C103</f>
        <v>171</v>
      </c>
      <c r="J103" s="224">
        <v>1</v>
      </c>
      <c r="K103" s="225"/>
      <c r="L103" s="97">
        <v>104</v>
      </c>
      <c r="M103" s="50">
        <f>L103+C103</f>
        <v>143</v>
      </c>
      <c r="N103" s="224">
        <v>0</v>
      </c>
      <c r="O103" s="225"/>
      <c r="P103" s="97">
        <v>133</v>
      </c>
      <c r="Q103" s="50">
        <f>P103+C103</f>
        <v>172</v>
      </c>
      <c r="R103" s="224">
        <v>0</v>
      </c>
      <c r="S103" s="225"/>
      <c r="T103" s="97">
        <v>159</v>
      </c>
      <c r="U103" s="50">
        <f>T103+C103</f>
        <v>198</v>
      </c>
      <c r="V103" s="224">
        <v>1</v>
      </c>
      <c r="W103" s="225"/>
      <c r="X103" s="46">
        <f t="shared" si="3"/>
        <v>880</v>
      </c>
      <c r="Y103" s="106">
        <f>D103+H103+L103+P103+T103</f>
        <v>685</v>
      </c>
      <c r="Z103" s="67">
        <f>AVERAGE(E103,I103,M103,Q103,U103)</f>
        <v>176</v>
      </c>
      <c r="AA103" s="143">
        <f>AVERAGE(E103,I103,M103,Q103,U103)-C103</f>
        <v>137</v>
      </c>
      <c r="AB103" s="220"/>
    </row>
    <row r="104" spans="1:28" s="38" customFormat="1" ht="15.75" customHeight="1">
      <c r="A104" s="222" t="s">
        <v>142</v>
      </c>
      <c r="B104" s="223"/>
      <c r="C104" s="150">
        <v>60</v>
      </c>
      <c r="D104" s="59">
        <v>100</v>
      </c>
      <c r="E104" s="50">
        <f>D104+C104</f>
        <v>160</v>
      </c>
      <c r="F104" s="226"/>
      <c r="G104" s="227"/>
      <c r="H104" s="98">
        <v>144</v>
      </c>
      <c r="I104" s="46">
        <f>H104+C104</f>
        <v>204</v>
      </c>
      <c r="J104" s="226"/>
      <c r="K104" s="227"/>
      <c r="L104" s="98">
        <v>113</v>
      </c>
      <c r="M104" s="50">
        <f>L104+C104</f>
        <v>173</v>
      </c>
      <c r="N104" s="226"/>
      <c r="O104" s="227"/>
      <c r="P104" s="98">
        <v>101</v>
      </c>
      <c r="Q104" s="50">
        <f>P104+C104</f>
        <v>161</v>
      </c>
      <c r="R104" s="226"/>
      <c r="S104" s="227"/>
      <c r="T104" s="98">
        <v>111</v>
      </c>
      <c r="U104" s="50">
        <f>T104+C104</f>
        <v>171</v>
      </c>
      <c r="V104" s="226"/>
      <c r="W104" s="227"/>
      <c r="X104" s="46">
        <f t="shared" si="3"/>
        <v>869</v>
      </c>
      <c r="Y104" s="106">
        <f>D104+H104+L104+P104+T104</f>
        <v>569</v>
      </c>
      <c r="Z104" s="67">
        <f>AVERAGE(E104,I104,M104,Q104,U104)</f>
        <v>173.8</v>
      </c>
      <c r="AA104" s="143">
        <f>AVERAGE(E104,I104,M104,Q104,U104)-C104</f>
        <v>113.80000000000001</v>
      </c>
      <c r="AB104" s="220"/>
    </row>
    <row r="105" spans="1:28" s="38" customFormat="1" ht="15.75" customHeight="1" thickBot="1">
      <c r="A105" s="229" t="s">
        <v>143</v>
      </c>
      <c r="B105" s="230"/>
      <c r="C105" s="151">
        <v>32</v>
      </c>
      <c r="D105" s="60">
        <v>109</v>
      </c>
      <c r="E105" s="50">
        <f>D105+C105</f>
        <v>141</v>
      </c>
      <c r="F105" s="204"/>
      <c r="G105" s="228"/>
      <c r="H105" s="99">
        <v>121</v>
      </c>
      <c r="I105" s="46">
        <f>H105+C105</f>
        <v>153</v>
      </c>
      <c r="J105" s="204"/>
      <c r="K105" s="228"/>
      <c r="L105" s="99">
        <v>148</v>
      </c>
      <c r="M105" s="50">
        <f>L105+C105</f>
        <v>180</v>
      </c>
      <c r="N105" s="204"/>
      <c r="O105" s="228"/>
      <c r="P105" s="99">
        <v>107</v>
      </c>
      <c r="Q105" s="50">
        <f>P105+C105</f>
        <v>139</v>
      </c>
      <c r="R105" s="204"/>
      <c r="S105" s="228"/>
      <c r="T105" s="99">
        <v>108</v>
      </c>
      <c r="U105" s="50">
        <f>T105+C105</f>
        <v>140</v>
      </c>
      <c r="V105" s="204"/>
      <c r="W105" s="228"/>
      <c r="X105" s="47">
        <f t="shared" si="3"/>
        <v>753</v>
      </c>
      <c r="Y105" s="107">
        <f>D105+H105+L105+P105+T105</f>
        <v>593</v>
      </c>
      <c r="Z105" s="68">
        <f>AVERAGE(E105,I105,M105,Q105,U105)</f>
        <v>150.6</v>
      </c>
      <c r="AA105" s="144">
        <f>AVERAGE(E105,I105,M105,Q105,U105)-C105</f>
        <v>118.6</v>
      </c>
      <c r="AB105" s="221"/>
    </row>
    <row r="106" spans="1:28" s="38" customFormat="1" ht="39" customHeight="1">
      <c r="A106" s="217" t="s">
        <v>130</v>
      </c>
      <c r="B106" s="218"/>
      <c r="C106" s="149">
        <f>SUM(C107:C109)</f>
        <v>115</v>
      </c>
      <c r="D106" s="62">
        <f>SUM(D107:D109)</f>
        <v>460</v>
      </c>
      <c r="E106" s="45">
        <f>SUM(E107:E109)</f>
        <v>575</v>
      </c>
      <c r="F106" s="45">
        <f>E102</f>
        <v>497</v>
      </c>
      <c r="G106" s="42" t="str">
        <f>A102</f>
        <v>Linnaking</v>
      </c>
      <c r="H106" s="62">
        <f>SUM(H107:H109)</f>
        <v>442</v>
      </c>
      <c r="I106" s="45">
        <f>SUM(I107:I109)</f>
        <v>557</v>
      </c>
      <c r="J106" s="45">
        <f>I98</f>
        <v>517</v>
      </c>
      <c r="K106" s="42" t="str">
        <f>A98</f>
        <v>Rakvere Soojus</v>
      </c>
      <c r="L106" s="133">
        <f>SUM(L107:L109)</f>
        <v>473</v>
      </c>
      <c r="M106" s="49">
        <f>SUM(M107:M109)</f>
        <v>588</v>
      </c>
      <c r="N106" s="45">
        <f>M94</f>
        <v>554</v>
      </c>
      <c r="O106" s="42" t="str">
        <f>A94</f>
        <v>Vest-Wood 1</v>
      </c>
      <c r="P106" s="45">
        <f>SUM(P107:P109)</f>
        <v>402</v>
      </c>
      <c r="Q106" s="49">
        <f>SUM(Q107:Q109)</f>
        <v>517</v>
      </c>
      <c r="R106" s="45">
        <f>Q110</f>
        <v>552</v>
      </c>
      <c r="S106" s="42" t="str">
        <f>A110</f>
        <v>FEB</v>
      </c>
      <c r="T106" s="133">
        <f>SUM(T107:T109)</f>
        <v>390</v>
      </c>
      <c r="U106" s="49">
        <f>SUM(U107:U109)</f>
        <v>505</v>
      </c>
      <c r="V106" s="45">
        <f>U114</f>
        <v>594</v>
      </c>
      <c r="W106" s="42" t="str">
        <f>A114</f>
        <v>Näpi Saeveski</v>
      </c>
      <c r="X106" s="36">
        <f t="shared" si="3"/>
        <v>2742</v>
      </c>
      <c r="Y106" s="105">
        <f>SUM(Y107:Y109)</f>
        <v>2167</v>
      </c>
      <c r="Z106" s="65">
        <f>AVERAGE(Z107,Z108,Z109)</f>
        <v>182.79999999999998</v>
      </c>
      <c r="AA106" s="142">
        <f>AVERAGE(AA107,AA108,AA109)</f>
        <v>144.46666666666667</v>
      </c>
      <c r="AB106" s="219">
        <f>F107+J107+N107+R107+V107</f>
        <v>3</v>
      </c>
    </row>
    <row r="107" spans="1:28" s="38" customFormat="1" ht="15.75" customHeight="1">
      <c r="A107" s="222" t="s">
        <v>295</v>
      </c>
      <c r="B107" s="223"/>
      <c r="C107" s="150">
        <v>36</v>
      </c>
      <c r="D107" s="59">
        <v>140</v>
      </c>
      <c r="E107" s="50">
        <f>D107+C107</f>
        <v>176</v>
      </c>
      <c r="F107" s="224">
        <v>1</v>
      </c>
      <c r="G107" s="225"/>
      <c r="H107" s="97">
        <v>142</v>
      </c>
      <c r="I107" s="46">
        <f>H107+C107</f>
        <v>178</v>
      </c>
      <c r="J107" s="224">
        <v>1</v>
      </c>
      <c r="K107" s="225"/>
      <c r="L107" s="97">
        <v>155</v>
      </c>
      <c r="M107" s="50">
        <f>L107+C107</f>
        <v>191</v>
      </c>
      <c r="N107" s="224">
        <v>1</v>
      </c>
      <c r="O107" s="225"/>
      <c r="P107" s="97">
        <v>129</v>
      </c>
      <c r="Q107" s="50">
        <f>P107+C107</f>
        <v>165</v>
      </c>
      <c r="R107" s="224">
        <v>0</v>
      </c>
      <c r="S107" s="225"/>
      <c r="T107" s="97">
        <v>126</v>
      </c>
      <c r="U107" s="50">
        <f>T107+C107</f>
        <v>162</v>
      </c>
      <c r="V107" s="224">
        <v>0</v>
      </c>
      <c r="W107" s="225"/>
      <c r="X107" s="46">
        <f t="shared" si="3"/>
        <v>872</v>
      </c>
      <c r="Y107" s="106">
        <f>D107+H107+L107+P107+T107</f>
        <v>692</v>
      </c>
      <c r="Z107" s="67">
        <f>AVERAGE(E107,I107,M107,Q107,U107)</f>
        <v>174.4</v>
      </c>
      <c r="AA107" s="143">
        <f>AVERAGE(E107,I107,M107,Q107,U107)-C107</f>
        <v>138.4</v>
      </c>
      <c r="AB107" s="220"/>
    </row>
    <row r="108" spans="1:28" s="38" customFormat="1" ht="15.75" customHeight="1">
      <c r="A108" s="222" t="s">
        <v>122</v>
      </c>
      <c r="B108" s="223"/>
      <c r="C108" s="150">
        <v>46</v>
      </c>
      <c r="D108" s="59">
        <v>157</v>
      </c>
      <c r="E108" s="50">
        <f>D108+C108</f>
        <v>203</v>
      </c>
      <c r="F108" s="226"/>
      <c r="G108" s="227"/>
      <c r="H108" s="98">
        <v>130</v>
      </c>
      <c r="I108" s="46">
        <f>H108+C108</f>
        <v>176</v>
      </c>
      <c r="J108" s="226"/>
      <c r="K108" s="227"/>
      <c r="L108" s="98">
        <v>139</v>
      </c>
      <c r="M108" s="50">
        <f>L108+C108</f>
        <v>185</v>
      </c>
      <c r="N108" s="226"/>
      <c r="O108" s="227"/>
      <c r="P108" s="98">
        <v>112</v>
      </c>
      <c r="Q108" s="50">
        <f>P108+C108</f>
        <v>158</v>
      </c>
      <c r="R108" s="226"/>
      <c r="S108" s="227"/>
      <c r="T108" s="98">
        <v>117</v>
      </c>
      <c r="U108" s="50">
        <f>T108+C108</f>
        <v>163</v>
      </c>
      <c r="V108" s="226"/>
      <c r="W108" s="227"/>
      <c r="X108" s="46">
        <f t="shared" si="3"/>
        <v>885</v>
      </c>
      <c r="Y108" s="106">
        <f>D108+H108+L108+P108+T108</f>
        <v>655</v>
      </c>
      <c r="Z108" s="67">
        <f>AVERAGE(E108,I108,M108,Q108,U108)</f>
        <v>177</v>
      </c>
      <c r="AA108" s="143">
        <f>AVERAGE(E108,I108,M108,Q108,U108)-C108</f>
        <v>131</v>
      </c>
      <c r="AB108" s="220"/>
    </row>
    <row r="109" spans="1:29" s="38" customFormat="1" ht="15.75" customHeight="1" thickBot="1">
      <c r="A109" s="229" t="s">
        <v>129</v>
      </c>
      <c r="B109" s="230"/>
      <c r="C109" s="151">
        <v>33</v>
      </c>
      <c r="D109" s="60">
        <v>163</v>
      </c>
      <c r="E109" s="50">
        <f>D109+C109</f>
        <v>196</v>
      </c>
      <c r="F109" s="204"/>
      <c r="G109" s="228"/>
      <c r="H109" s="99">
        <v>170</v>
      </c>
      <c r="I109" s="46">
        <f>H109+C109</f>
        <v>203</v>
      </c>
      <c r="J109" s="204"/>
      <c r="K109" s="228"/>
      <c r="L109" s="99">
        <v>179</v>
      </c>
      <c r="M109" s="50">
        <f>L109+C109</f>
        <v>212</v>
      </c>
      <c r="N109" s="204"/>
      <c r="O109" s="228"/>
      <c r="P109" s="99">
        <v>161</v>
      </c>
      <c r="Q109" s="50">
        <f>P109+C109</f>
        <v>194</v>
      </c>
      <c r="R109" s="204"/>
      <c r="S109" s="228"/>
      <c r="T109" s="99">
        <v>147</v>
      </c>
      <c r="U109" s="50">
        <f>T109+C109</f>
        <v>180</v>
      </c>
      <c r="V109" s="204"/>
      <c r="W109" s="228"/>
      <c r="X109" s="47">
        <f t="shared" si="3"/>
        <v>985</v>
      </c>
      <c r="Y109" s="107">
        <f>D109+H109+L109+P109+T109</f>
        <v>820</v>
      </c>
      <c r="Z109" s="68">
        <f>AVERAGE(E109,I109,M109,Q109,U109)</f>
        <v>197</v>
      </c>
      <c r="AA109" s="144">
        <f>AVERAGE(E109,I109,M109,Q109,U109)-C109</f>
        <v>164</v>
      </c>
      <c r="AB109" s="221"/>
      <c r="AC109" s="44"/>
    </row>
    <row r="110" spans="1:28" s="38" customFormat="1" ht="53.25" customHeight="1">
      <c r="A110" s="217" t="s">
        <v>15</v>
      </c>
      <c r="B110" s="218"/>
      <c r="C110" s="149">
        <f>SUM(C111:C113)</f>
        <v>143</v>
      </c>
      <c r="D110" s="62">
        <f>SUM(D111:D113)</f>
        <v>343</v>
      </c>
      <c r="E110" s="45">
        <f>SUM(E111:E113)</f>
        <v>486</v>
      </c>
      <c r="F110" s="45">
        <f>E98</f>
        <v>483</v>
      </c>
      <c r="G110" s="42" t="str">
        <f>A98</f>
        <v>Rakvere Soojus</v>
      </c>
      <c r="H110" s="62">
        <f>SUM(H111:H113)</f>
        <v>334</v>
      </c>
      <c r="I110" s="45">
        <f>SUM(I111:I113)</f>
        <v>477</v>
      </c>
      <c r="J110" s="45">
        <f>I94</f>
        <v>544</v>
      </c>
      <c r="K110" s="42" t="str">
        <f>A94</f>
        <v>Vest-Wood 1</v>
      </c>
      <c r="L110" s="133">
        <f>SUM(L111:L113)</f>
        <v>416</v>
      </c>
      <c r="M110" s="69">
        <f>SUM(M111:M113)</f>
        <v>559</v>
      </c>
      <c r="N110" s="45">
        <f>M114</f>
        <v>519</v>
      </c>
      <c r="O110" s="42" t="str">
        <f>A114</f>
        <v>Näpi Saeveski</v>
      </c>
      <c r="P110" s="45">
        <f>SUM(P111:P113)</f>
        <v>409</v>
      </c>
      <c r="Q110" s="69">
        <f>SUM(Q111:Q113)</f>
        <v>552</v>
      </c>
      <c r="R110" s="45">
        <f>Q106</f>
        <v>517</v>
      </c>
      <c r="S110" s="42" t="str">
        <f>A106</f>
        <v>Uus Maa</v>
      </c>
      <c r="T110" s="133">
        <f>SUM(T111:T113)</f>
        <v>356</v>
      </c>
      <c r="U110" s="69">
        <f>SUM(U111:U113)</f>
        <v>499</v>
      </c>
      <c r="V110" s="45">
        <f>U102</f>
        <v>509</v>
      </c>
      <c r="W110" s="42" t="str">
        <f>A102</f>
        <v>Linnaking</v>
      </c>
      <c r="X110" s="36">
        <f t="shared" si="3"/>
        <v>2573</v>
      </c>
      <c r="Y110" s="105">
        <f>SUM(Y111:Y113)</f>
        <v>1858</v>
      </c>
      <c r="Z110" s="65">
        <f>AVERAGE(Z111,Z112,Z113)</f>
        <v>171.53333333333333</v>
      </c>
      <c r="AA110" s="142">
        <f>AVERAGE(AA111,AA112,AA113)</f>
        <v>123.86666666666667</v>
      </c>
      <c r="AB110" s="219">
        <f>F111+J111+N111+R111+V111</f>
        <v>3</v>
      </c>
    </row>
    <row r="111" spans="1:28" s="38" customFormat="1" ht="15.75" customHeight="1">
      <c r="A111" s="222" t="s">
        <v>49</v>
      </c>
      <c r="B111" s="223"/>
      <c r="C111" s="150">
        <v>41</v>
      </c>
      <c r="D111" s="59">
        <v>133</v>
      </c>
      <c r="E111" s="50">
        <f>D111+C111</f>
        <v>174</v>
      </c>
      <c r="F111" s="224">
        <v>1</v>
      </c>
      <c r="G111" s="225"/>
      <c r="H111" s="97">
        <v>122</v>
      </c>
      <c r="I111" s="46">
        <f>H111+C111</f>
        <v>163</v>
      </c>
      <c r="J111" s="224">
        <v>0</v>
      </c>
      <c r="K111" s="225"/>
      <c r="L111" s="97">
        <v>164</v>
      </c>
      <c r="M111" s="50">
        <f>L111+C111</f>
        <v>205</v>
      </c>
      <c r="N111" s="224">
        <v>1</v>
      </c>
      <c r="O111" s="225"/>
      <c r="P111" s="97">
        <v>151</v>
      </c>
      <c r="Q111" s="50">
        <f>P111+C111</f>
        <v>192</v>
      </c>
      <c r="R111" s="224">
        <v>1</v>
      </c>
      <c r="S111" s="225"/>
      <c r="T111" s="97">
        <v>107</v>
      </c>
      <c r="U111" s="50">
        <f>T111+C111</f>
        <v>148</v>
      </c>
      <c r="V111" s="224">
        <v>0</v>
      </c>
      <c r="W111" s="225"/>
      <c r="X111" s="46">
        <f t="shared" si="3"/>
        <v>882</v>
      </c>
      <c r="Y111" s="106">
        <f>D111+H111+L111+P111+T111</f>
        <v>677</v>
      </c>
      <c r="Z111" s="67">
        <f>AVERAGE(E111,I111,M111,Q111,U111)</f>
        <v>176.4</v>
      </c>
      <c r="AA111" s="143">
        <f>AVERAGE(E111,I111,M111,Q111,U111)-C111</f>
        <v>135.4</v>
      </c>
      <c r="AB111" s="220"/>
    </row>
    <row r="112" spans="1:28" s="38" customFormat="1" ht="15.75" customHeight="1">
      <c r="A112" s="222" t="s">
        <v>48</v>
      </c>
      <c r="B112" s="223"/>
      <c r="C112" s="150">
        <v>60</v>
      </c>
      <c r="D112" s="59">
        <v>95</v>
      </c>
      <c r="E112" s="50">
        <f>D112+C112</f>
        <v>155</v>
      </c>
      <c r="F112" s="226"/>
      <c r="G112" s="227"/>
      <c r="H112" s="98">
        <v>90</v>
      </c>
      <c r="I112" s="46">
        <f>H112+C112</f>
        <v>150</v>
      </c>
      <c r="J112" s="226"/>
      <c r="K112" s="227"/>
      <c r="L112" s="98">
        <v>98</v>
      </c>
      <c r="M112" s="50">
        <f>L112+C112</f>
        <v>158</v>
      </c>
      <c r="N112" s="226"/>
      <c r="O112" s="227"/>
      <c r="P112" s="98">
        <v>115</v>
      </c>
      <c r="Q112" s="50">
        <f>P112+C112</f>
        <v>175</v>
      </c>
      <c r="R112" s="226"/>
      <c r="S112" s="227"/>
      <c r="T112" s="98">
        <v>106</v>
      </c>
      <c r="U112" s="50">
        <f>T112+C112</f>
        <v>166</v>
      </c>
      <c r="V112" s="226"/>
      <c r="W112" s="227"/>
      <c r="X112" s="46">
        <f t="shared" si="3"/>
        <v>804</v>
      </c>
      <c r="Y112" s="106">
        <f>D112+H112+L112+P112+T112</f>
        <v>504</v>
      </c>
      <c r="Z112" s="67">
        <f>AVERAGE(E112,I112,M112,Q112,U112)</f>
        <v>160.8</v>
      </c>
      <c r="AA112" s="143">
        <f>AVERAGE(E112,I112,M112,Q112,U112)-C112</f>
        <v>100.80000000000001</v>
      </c>
      <c r="AB112" s="220"/>
    </row>
    <row r="113" spans="1:28" s="38" customFormat="1" ht="15.75" customHeight="1" thickBot="1">
      <c r="A113" s="229" t="s">
        <v>276</v>
      </c>
      <c r="B113" s="230"/>
      <c r="C113" s="151">
        <v>42</v>
      </c>
      <c r="D113" s="60">
        <v>115</v>
      </c>
      <c r="E113" s="50">
        <f>D113+C113</f>
        <v>157</v>
      </c>
      <c r="F113" s="204"/>
      <c r="G113" s="228"/>
      <c r="H113" s="99">
        <v>122</v>
      </c>
      <c r="I113" s="46">
        <f>H113+C113</f>
        <v>164</v>
      </c>
      <c r="J113" s="204"/>
      <c r="K113" s="228"/>
      <c r="L113" s="99">
        <v>154</v>
      </c>
      <c r="M113" s="50">
        <f>L113+C113</f>
        <v>196</v>
      </c>
      <c r="N113" s="204"/>
      <c r="O113" s="228"/>
      <c r="P113" s="99">
        <v>143</v>
      </c>
      <c r="Q113" s="50">
        <f>P113+C113</f>
        <v>185</v>
      </c>
      <c r="R113" s="204"/>
      <c r="S113" s="228"/>
      <c r="T113" s="99">
        <v>143</v>
      </c>
      <c r="U113" s="50">
        <f>T113+C113</f>
        <v>185</v>
      </c>
      <c r="V113" s="204"/>
      <c r="W113" s="228"/>
      <c r="X113" s="47">
        <f t="shared" si="3"/>
        <v>887</v>
      </c>
      <c r="Y113" s="107">
        <f>D113+H113+L113+P113+T113</f>
        <v>677</v>
      </c>
      <c r="Z113" s="68">
        <f>AVERAGE(E113,I113,M113,Q113,U113)</f>
        <v>177.4</v>
      </c>
      <c r="AA113" s="144">
        <f>AVERAGE(E113,I113,M113,Q113,U113)-C113</f>
        <v>135.4</v>
      </c>
      <c r="AB113" s="221"/>
    </row>
    <row r="114" spans="1:28" s="38" customFormat="1" ht="42" customHeight="1">
      <c r="A114" s="217" t="s">
        <v>226</v>
      </c>
      <c r="B114" s="218"/>
      <c r="C114" s="149">
        <f>SUM(C115:C117)</f>
        <v>78</v>
      </c>
      <c r="D114" s="62">
        <f>SUM(D115:D117)</f>
        <v>437</v>
      </c>
      <c r="E114" s="45">
        <f>SUM(E115:E117)</f>
        <v>515</v>
      </c>
      <c r="F114" s="45">
        <f>E94</f>
        <v>564</v>
      </c>
      <c r="G114" s="42" t="str">
        <f>A94</f>
        <v>Vest-Wood 1</v>
      </c>
      <c r="H114" s="62">
        <f>SUM(H115:H117)</f>
        <v>449</v>
      </c>
      <c r="I114" s="45">
        <f>SUM(I115:I117)</f>
        <v>527</v>
      </c>
      <c r="J114" s="45">
        <f>I102</f>
        <v>528</v>
      </c>
      <c r="K114" s="42" t="str">
        <f>A102</f>
        <v>Linnaking</v>
      </c>
      <c r="L114" s="133">
        <f>SUM(L115:L117)</f>
        <v>441</v>
      </c>
      <c r="M114" s="49">
        <f>SUM(M115:M117)</f>
        <v>519</v>
      </c>
      <c r="N114" s="45">
        <f>M110</f>
        <v>559</v>
      </c>
      <c r="O114" s="42" t="str">
        <f>A110</f>
        <v>FEB</v>
      </c>
      <c r="P114" s="45">
        <f>SUM(P115:P117)</f>
        <v>377</v>
      </c>
      <c r="Q114" s="49">
        <f>SUM(Q115:Q117)</f>
        <v>455</v>
      </c>
      <c r="R114" s="45">
        <f>Q98</f>
        <v>582</v>
      </c>
      <c r="S114" s="42" t="str">
        <f>A98</f>
        <v>Rakvere Soojus</v>
      </c>
      <c r="T114" s="133">
        <f>SUM(T115:T117)</f>
        <v>516</v>
      </c>
      <c r="U114" s="49">
        <f>SUM(U115:U117)</f>
        <v>594</v>
      </c>
      <c r="V114" s="45">
        <f>U106</f>
        <v>505</v>
      </c>
      <c r="W114" s="42" t="str">
        <f>A106</f>
        <v>Uus Maa</v>
      </c>
      <c r="X114" s="36">
        <f t="shared" si="3"/>
        <v>2610</v>
      </c>
      <c r="Y114" s="105">
        <f>SUM(Y115:Y117)</f>
        <v>2220</v>
      </c>
      <c r="Z114" s="65">
        <f>AVERAGE(Z115,Z116,Z117)</f>
        <v>174</v>
      </c>
      <c r="AA114" s="142">
        <f>AVERAGE(AA115,AA116,AA117)</f>
        <v>148</v>
      </c>
      <c r="AB114" s="219">
        <f>F115+J115+N115+R115+V115</f>
        <v>1</v>
      </c>
    </row>
    <row r="115" spans="1:28" s="38" customFormat="1" ht="15.75" customHeight="1">
      <c r="A115" s="222" t="s">
        <v>206</v>
      </c>
      <c r="B115" s="223"/>
      <c r="C115" s="150">
        <v>27</v>
      </c>
      <c r="D115" s="59">
        <v>110</v>
      </c>
      <c r="E115" s="50">
        <f>D115+C115</f>
        <v>137</v>
      </c>
      <c r="F115" s="224">
        <v>0</v>
      </c>
      <c r="G115" s="225"/>
      <c r="H115" s="97">
        <v>135</v>
      </c>
      <c r="I115" s="46">
        <f>H115+C115</f>
        <v>162</v>
      </c>
      <c r="J115" s="224">
        <v>0</v>
      </c>
      <c r="K115" s="225"/>
      <c r="L115" s="97">
        <v>148</v>
      </c>
      <c r="M115" s="50">
        <f>L115+C115</f>
        <v>175</v>
      </c>
      <c r="N115" s="224">
        <v>0</v>
      </c>
      <c r="O115" s="225"/>
      <c r="P115" s="97">
        <v>124</v>
      </c>
      <c r="Q115" s="50">
        <f>P115+C115</f>
        <v>151</v>
      </c>
      <c r="R115" s="224">
        <v>0</v>
      </c>
      <c r="S115" s="225"/>
      <c r="T115" s="97">
        <v>163</v>
      </c>
      <c r="U115" s="50">
        <f>T115+C115</f>
        <v>190</v>
      </c>
      <c r="V115" s="224">
        <v>1</v>
      </c>
      <c r="W115" s="225"/>
      <c r="X115" s="46">
        <f t="shared" si="3"/>
        <v>815</v>
      </c>
      <c r="Y115" s="106">
        <f>D115+H115+L115+P115+T115</f>
        <v>680</v>
      </c>
      <c r="Z115" s="67">
        <f>AVERAGE(E115,I115,M115,Q115,U115)</f>
        <v>163</v>
      </c>
      <c r="AA115" s="143">
        <f>AVERAGE(E115,I115,M115,Q115,U115)-C115</f>
        <v>136</v>
      </c>
      <c r="AB115" s="220"/>
    </row>
    <row r="116" spans="1:28" s="38" customFormat="1" ht="15.75" customHeight="1">
      <c r="A116" s="222" t="s">
        <v>306</v>
      </c>
      <c r="B116" s="223"/>
      <c r="C116" s="150">
        <v>24</v>
      </c>
      <c r="D116" s="59">
        <v>177</v>
      </c>
      <c r="E116" s="50">
        <f>D116+C116</f>
        <v>201</v>
      </c>
      <c r="F116" s="226"/>
      <c r="G116" s="227"/>
      <c r="H116" s="98">
        <v>167</v>
      </c>
      <c r="I116" s="46">
        <f>H116+C116</f>
        <v>191</v>
      </c>
      <c r="J116" s="226"/>
      <c r="K116" s="227"/>
      <c r="L116" s="98">
        <v>133</v>
      </c>
      <c r="M116" s="50">
        <f>L116+C116</f>
        <v>157</v>
      </c>
      <c r="N116" s="226"/>
      <c r="O116" s="227"/>
      <c r="P116" s="98">
        <v>116</v>
      </c>
      <c r="Q116" s="50">
        <f>P116+C116</f>
        <v>140</v>
      </c>
      <c r="R116" s="226"/>
      <c r="S116" s="227"/>
      <c r="T116" s="98">
        <v>210</v>
      </c>
      <c r="U116" s="50">
        <f>T116+C116</f>
        <v>234</v>
      </c>
      <c r="V116" s="226"/>
      <c r="W116" s="227"/>
      <c r="X116" s="46">
        <f t="shared" si="3"/>
        <v>923</v>
      </c>
      <c r="Y116" s="106">
        <f>D116+H116+L116+P116+T116</f>
        <v>803</v>
      </c>
      <c r="Z116" s="67">
        <f>AVERAGE(E116,I116,M116,Q116,U116)</f>
        <v>184.6</v>
      </c>
      <c r="AA116" s="143">
        <f>AVERAGE(E116,I116,M116,Q116,U116)-C116</f>
        <v>160.6</v>
      </c>
      <c r="AB116" s="220"/>
    </row>
    <row r="117" spans="1:28" s="38" customFormat="1" ht="14.25" customHeight="1" thickBot="1">
      <c r="A117" s="229" t="s">
        <v>208</v>
      </c>
      <c r="B117" s="230"/>
      <c r="C117" s="151">
        <v>27</v>
      </c>
      <c r="D117" s="60">
        <v>150</v>
      </c>
      <c r="E117" s="50">
        <f>D117+C117</f>
        <v>177</v>
      </c>
      <c r="F117" s="204"/>
      <c r="G117" s="228"/>
      <c r="H117" s="99">
        <v>147</v>
      </c>
      <c r="I117" s="46">
        <f>H117+C117</f>
        <v>174</v>
      </c>
      <c r="J117" s="204"/>
      <c r="K117" s="228"/>
      <c r="L117" s="99">
        <v>160</v>
      </c>
      <c r="M117" s="50">
        <f>L117+C117</f>
        <v>187</v>
      </c>
      <c r="N117" s="204"/>
      <c r="O117" s="228"/>
      <c r="P117" s="99">
        <v>137</v>
      </c>
      <c r="Q117" s="50">
        <f>P117+C117</f>
        <v>164</v>
      </c>
      <c r="R117" s="204"/>
      <c r="S117" s="228"/>
      <c r="T117" s="99">
        <v>143</v>
      </c>
      <c r="U117" s="50">
        <f>T117+C117</f>
        <v>170</v>
      </c>
      <c r="V117" s="204"/>
      <c r="W117" s="228"/>
      <c r="X117" s="47">
        <f t="shared" si="3"/>
        <v>872</v>
      </c>
      <c r="Y117" s="107">
        <f>D117+H117+L117+P117+T117</f>
        <v>737</v>
      </c>
      <c r="Z117" s="68">
        <f>AVERAGE(E117,I117,M117,Q117,U117)</f>
        <v>174.4</v>
      </c>
      <c r="AA117" s="144">
        <f>AVERAGE(E117,I117,M117,Q117,U117)-C117</f>
        <v>147.4</v>
      </c>
      <c r="AB117" s="221"/>
    </row>
    <row r="118" spans="1:28" s="40" customFormat="1" ht="12.75" customHeight="1">
      <c r="A118" s="207" t="s">
        <v>333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4"/>
      <c r="W118" s="25"/>
      <c r="Y118" s="57"/>
      <c r="Z118" s="41"/>
      <c r="AA118" s="139"/>
      <c r="AB118" s="25"/>
    </row>
    <row r="119" spans="1:28" s="40" customFormat="1" ht="14.25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4"/>
      <c r="W119" s="25"/>
      <c r="Y119" s="57"/>
      <c r="Z119" s="41"/>
      <c r="AA119" s="139"/>
      <c r="AB119" s="25"/>
    </row>
    <row r="120" spans="1:28" s="40" customFormat="1" ht="23.25" customHeight="1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5"/>
      <c r="W120" s="25"/>
      <c r="Y120" s="57"/>
      <c r="Z120" s="41"/>
      <c r="AA120" s="139"/>
      <c r="AB120" s="25"/>
    </row>
    <row r="121" spans="1:28" s="31" customFormat="1" ht="15.75" customHeight="1">
      <c r="A121" s="209" t="s">
        <v>0</v>
      </c>
      <c r="B121" s="210"/>
      <c r="C121" s="147" t="s">
        <v>39</v>
      </c>
      <c r="D121" s="55"/>
      <c r="E121" s="27" t="s">
        <v>1</v>
      </c>
      <c r="F121" s="211" t="s">
        <v>2</v>
      </c>
      <c r="G121" s="212"/>
      <c r="H121" s="94"/>
      <c r="I121" s="27" t="s">
        <v>3</v>
      </c>
      <c r="J121" s="211" t="s">
        <v>2</v>
      </c>
      <c r="K121" s="212"/>
      <c r="L121" s="94"/>
      <c r="M121" s="27" t="s">
        <v>4</v>
      </c>
      <c r="N121" s="211" t="s">
        <v>2</v>
      </c>
      <c r="O121" s="212"/>
      <c r="P121" s="94"/>
      <c r="Q121" s="27" t="s">
        <v>5</v>
      </c>
      <c r="R121" s="211" t="s">
        <v>2</v>
      </c>
      <c r="S121" s="212"/>
      <c r="T121" s="94"/>
      <c r="U121" s="27" t="s">
        <v>6</v>
      </c>
      <c r="V121" s="211" t="s">
        <v>2</v>
      </c>
      <c r="W121" s="212"/>
      <c r="X121" s="28" t="s">
        <v>7</v>
      </c>
      <c r="Y121" s="104"/>
      <c r="Z121" s="29" t="s">
        <v>40</v>
      </c>
      <c r="AA121" s="140" t="s">
        <v>42</v>
      </c>
      <c r="AB121" s="30" t="s">
        <v>7</v>
      </c>
    </row>
    <row r="122" spans="1:28" s="31" customFormat="1" ht="15.75" customHeight="1" thickBot="1">
      <c r="A122" s="213" t="s">
        <v>9</v>
      </c>
      <c r="B122" s="214"/>
      <c r="C122" s="148"/>
      <c r="D122" s="56"/>
      <c r="E122" s="32" t="s">
        <v>10</v>
      </c>
      <c r="F122" s="211" t="s">
        <v>11</v>
      </c>
      <c r="G122" s="212"/>
      <c r="H122" s="95"/>
      <c r="I122" s="32" t="s">
        <v>10</v>
      </c>
      <c r="J122" s="215" t="s">
        <v>11</v>
      </c>
      <c r="K122" s="216"/>
      <c r="L122" s="95"/>
      <c r="M122" s="32" t="s">
        <v>10</v>
      </c>
      <c r="N122" s="215" t="s">
        <v>11</v>
      </c>
      <c r="O122" s="216"/>
      <c r="P122" s="95"/>
      <c r="Q122" s="32" t="s">
        <v>10</v>
      </c>
      <c r="R122" s="215" t="s">
        <v>11</v>
      </c>
      <c r="S122" s="216"/>
      <c r="T122" s="95"/>
      <c r="U122" s="32" t="s">
        <v>10</v>
      </c>
      <c r="V122" s="215" t="s">
        <v>11</v>
      </c>
      <c r="W122" s="216"/>
      <c r="X122" s="33" t="s">
        <v>10</v>
      </c>
      <c r="Y122" s="134" t="s">
        <v>287</v>
      </c>
      <c r="Z122" s="34" t="s">
        <v>41</v>
      </c>
      <c r="AA122" s="141" t="s">
        <v>43</v>
      </c>
      <c r="AB122" s="35" t="s">
        <v>12</v>
      </c>
    </row>
    <row r="123" spans="1:28" s="38" customFormat="1" ht="42" customHeight="1">
      <c r="A123" s="217" t="s">
        <v>192</v>
      </c>
      <c r="B123" s="218"/>
      <c r="C123" s="149">
        <f>SUM(C124:C126)</f>
        <v>85</v>
      </c>
      <c r="D123" s="62">
        <f>SUM(D124:D126)</f>
        <v>487</v>
      </c>
      <c r="E123" s="63">
        <f>SUM(E124:E126)</f>
        <v>572</v>
      </c>
      <c r="F123" s="46">
        <f>E143</f>
        <v>583</v>
      </c>
      <c r="G123" s="64" t="str">
        <f>A143</f>
        <v>Penn&amp; Pärlin</v>
      </c>
      <c r="H123" s="62">
        <f>SUM(H124:H126)</f>
        <v>454</v>
      </c>
      <c r="I123" s="49">
        <f>SUM(I124:I126)</f>
        <v>539</v>
      </c>
      <c r="J123" s="49">
        <f>I139</f>
        <v>512</v>
      </c>
      <c r="K123" s="42" t="str">
        <f>A139</f>
        <v>AKAT 2</v>
      </c>
      <c r="L123" s="58">
        <f>SUM(L124:L126)</f>
        <v>442</v>
      </c>
      <c r="M123" s="45">
        <f>SUM(M124:M126)</f>
        <v>527</v>
      </c>
      <c r="N123" s="45">
        <f>M135</f>
        <v>627</v>
      </c>
      <c r="O123" s="42" t="str">
        <f>A135</f>
        <v>Vest-Wood 3</v>
      </c>
      <c r="P123" s="45">
        <f>SUM(P124:P126)</f>
        <v>438</v>
      </c>
      <c r="Q123" s="45">
        <f>SUM(Q124:Q126)</f>
        <v>523</v>
      </c>
      <c r="R123" s="45">
        <f>Q131</f>
        <v>564</v>
      </c>
      <c r="S123" s="42" t="str">
        <f>A131</f>
        <v>STIK</v>
      </c>
      <c r="T123" s="133">
        <f>SUM(T124:T126)</f>
        <v>480</v>
      </c>
      <c r="U123" s="45">
        <f>SUM(U124:U126)</f>
        <v>565</v>
      </c>
      <c r="V123" s="45">
        <f>U127</f>
        <v>541</v>
      </c>
      <c r="W123" s="42" t="str">
        <f>A127</f>
        <v>Lajos 2</v>
      </c>
      <c r="X123" s="36">
        <f aca="true" t="shared" si="4" ref="X123:X146">E123+I123+M123+Q123+U123</f>
        <v>2726</v>
      </c>
      <c r="Y123" s="105">
        <f>SUM(Y124:Y126)</f>
        <v>2301</v>
      </c>
      <c r="Z123" s="37">
        <f>AVERAGE(Z124,Z125,Z126)</f>
        <v>181.73333333333335</v>
      </c>
      <c r="AA123" s="142">
        <f>AVERAGE(AA124,AA125,AA126)</f>
        <v>153.4</v>
      </c>
      <c r="AB123" s="219">
        <f>F124+J124+N124+R124+V124</f>
        <v>2</v>
      </c>
    </row>
    <row r="124" spans="1:28" s="38" customFormat="1" ht="15.75" customHeight="1">
      <c r="A124" s="222" t="s">
        <v>176</v>
      </c>
      <c r="B124" s="223"/>
      <c r="C124" s="150">
        <v>26</v>
      </c>
      <c r="D124" s="59">
        <v>159</v>
      </c>
      <c r="E124" s="50">
        <f>D124+C124</f>
        <v>185</v>
      </c>
      <c r="F124" s="224">
        <v>0</v>
      </c>
      <c r="G124" s="225"/>
      <c r="H124" s="97">
        <v>171</v>
      </c>
      <c r="I124" s="46">
        <f>H124+C124</f>
        <v>197</v>
      </c>
      <c r="J124" s="224">
        <v>1</v>
      </c>
      <c r="K124" s="225"/>
      <c r="L124" s="97">
        <v>126</v>
      </c>
      <c r="M124" s="50">
        <f>L124+C124</f>
        <v>152</v>
      </c>
      <c r="N124" s="224">
        <v>0</v>
      </c>
      <c r="O124" s="225"/>
      <c r="P124" s="97">
        <v>159</v>
      </c>
      <c r="Q124" s="50">
        <f>P124+C124</f>
        <v>185</v>
      </c>
      <c r="R124" s="224">
        <v>0</v>
      </c>
      <c r="S124" s="225"/>
      <c r="T124" s="97">
        <v>184</v>
      </c>
      <c r="U124" s="50">
        <f>T124+C124</f>
        <v>210</v>
      </c>
      <c r="V124" s="224">
        <v>1</v>
      </c>
      <c r="W124" s="225"/>
      <c r="X124" s="46">
        <f t="shared" si="4"/>
        <v>929</v>
      </c>
      <c r="Y124" s="106">
        <f>D124+H124+L124+P124+T124</f>
        <v>799</v>
      </c>
      <c r="Z124" s="67">
        <f>AVERAGE(E124,I124,M124,Q124,U124)</f>
        <v>185.8</v>
      </c>
      <c r="AA124" s="143">
        <f>AVERAGE(E124,I124,M124,Q124,U124)-C124</f>
        <v>159.8</v>
      </c>
      <c r="AB124" s="220"/>
    </row>
    <row r="125" spans="1:28" s="38" customFormat="1" ht="15.75" customHeight="1">
      <c r="A125" s="222" t="s">
        <v>177</v>
      </c>
      <c r="B125" s="223"/>
      <c r="C125" s="150">
        <v>33</v>
      </c>
      <c r="D125" s="59">
        <v>157</v>
      </c>
      <c r="E125" s="50">
        <f>D125+C125</f>
        <v>190</v>
      </c>
      <c r="F125" s="226"/>
      <c r="G125" s="227"/>
      <c r="H125" s="98">
        <v>128</v>
      </c>
      <c r="I125" s="46">
        <f>H125+C125</f>
        <v>161</v>
      </c>
      <c r="J125" s="226"/>
      <c r="K125" s="227"/>
      <c r="L125" s="98">
        <v>147</v>
      </c>
      <c r="M125" s="50">
        <f>L125+C125</f>
        <v>180</v>
      </c>
      <c r="N125" s="226"/>
      <c r="O125" s="227"/>
      <c r="P125" s="98">
        <v>135</v>
      </c>
      <c r="Q125" s="50">
        <f>P125+C125</f>
        <v>168</v>
      </c>
      <c r="R125" s="226"/>
      <c r="S125" s="227"/>
      <c r="T125" s="98">
        <v>157</v>
      </c>
      <c r="U125" s="50">
        <f>T125+C125</f>
        <v>190</v>
      </c>
      <c r="V125" s="226"/>
      <c r="W125" s="227"/>
      <c r="X125" s="46">
        <f t="shared" si="4"/>
        <v>889</v>
      </c>
      <c r="Y125" s="106">
        <f>D125+H125+L125+P125+T125</f>
        <v>724</v>
      </c>
      <c r="Z125" s="67">
        <f>AVERAGE(E125,I125,M125,Q125,U125)</f>
        <v>177.8</v>
      </c>
      <c r="AA125" s="143">
        <f>AVERAGE(E125,I125,M125,Q125,U125)-C125</f>
        <v>144.8</v>
      </c>
      <c r="AB125" s="220"/>
    </row>
    <row r="126" spans="1:28" s="38" customFormat="1" ht="16.5" customHeight="1" thickBot="1">
      <c r="A126" s="229" t="s">
        <v>178</v>
      </c>
      <c r="B126" s="230"/>
      <c r="C126" s="151">
        <v>26</v>
      </c>
      <c r="D126" s="60">
        <v>171</v>
      </c>
      <c r="E126" s="50">
        <f>D126+C126</f>
        <v>197</v>
      </c>
      <c r="F126" s="204"/>
      <c r="G126" s="228"/>
      <c r="H126" s="99">
        <v>155</v>
      </c>
      <c r="I126" s="46">
        <f>H126+C126</f>
        <v>181</v>
      </c>
      <c r="J126" s="204"/>
      <c r="K126" s="228"/>
      <c r="L126" s="99">
        <v>169</v>
      </c>
      <c r="M126" s="50">
        <f>L126+C126</f>
        <v>195</v>
      </c>
      <c r="N126" s="204"/>
      <c r="O126" s="228"/>
      <c r="P126" s="99">
        <v>144</v>
      </c>
      <c r="Q126" s="50">
        <f>P126+C126</f>
        <v>170</v>
      </c>
      <c r="R126" s="204"/>
      <c r="S126" s="228"/>
      <c r="T126" s="99">
        <v>139</v>
      </c>
      <c r="U126" s="50">
        <f>T126+C126</f>
        <v>165</v>
      </c>
      <c r="V126" s="204"/>
      <c r="W126" s="228"/>
      <c r="X126" s="47">
        <f t="shared" si="4"/>
        <v>908</v>
      </c>
      <c r="Y126" s="107">
        <f>D126+H126+L126+P126+T126</f>
        <v>778</v>
      </c>
      <c r="Z126" s="68">
        <f>AVERAGE(E126,I126,M126,Q126,U126)</f>
        <v>181.6</v>
      </c>
      <c r="AA126" s="144">
        <f>AVERAGE(E126,I126,M126,Q126,U126)-C126</f>
        <v>155.6</v>
      </c>
      <c r="AB126" s="221"/>
    </row>
    <row r="127" spans="1:28" s="38" customFormat="1" ht="41.25" customHeight="1">
      <c r="A127" s="217" t="s">
        <v>161</v>
      </c>
      <c r="B127" s="218"/>
      <c r="C127" s="149">
        <f>SUM(C128:C130)</f>
        <v>143</v>
      </c>
      <c r="D127" s="62">
        <f>SUM(D128:D130)</f>
        <v>338</v>
      </c>
      <c r="E127" s="45">
        <f>SUM(E128:E130)</f>
        <v>481</v>
      </c>
      <c r="F127" s="45">
        <f>E139</f>
        <v>502</v>
      </c>
      <c r="G127" s="42" t="str">
        <f>A139</f>
        <v>AKAT 2</v>
      </c>
      <c r="H127" s="62">
        <f>SUM(H128:H130)</f>
        <v>470</v>
      </c>
      <c r="I127" s="45">
        <f>SUM(I128:I130)</f>
        <v>613</v>
      </c>
      <c r="J127" s="45">
        <f>I135</f>
        <v>478</v>
      </c>
      <c r="K127" s="42" t="str">
        <f>A135</f>
        <v>Vest-Wood 3</v>
      </c>
      <c r="L127" s="133">
        <f>SUM(L128:L130)</f>
        <v>402</v>
      </c>
      <c r="M127" s="49">
        <f>SUM(M128:M130)</f>
        <v>545</v>
      </c>
      <c r="N127" s="45">
        <f>M131</f>
        <v>462</v>
      </c>
      <c r="O127" s="42" t="str">
        <f>A131</f>
        <v>STIK</v>
      </c>
      <c r="P127" s="45">
        <f>SUM(P128:P130)</f>
        <v>342</v>
      </c>
      <c r="Q127" s="49">
        <f>SUM(Q128:Q130)</f>
        <v>485</v>
      </c>
      <c r="R127" s="45">
        <f>Q143</f>
        <v>582</v>
      </c>
      <c r="S127" s="42" t="str">
        <f>A143</f>
        <v>Penn&amp; Pärlin</v>
      </c>
      <c r="T127" s="133">
        <f>SUM(T128:T130)</f>
        <v>398</v>
      </c>
      <c r="U127" s="49">
        <f>SUM(U128:U130)</f>
        <v>541</v>
      </c>
      <c r="V127" s="45">
        <f>U123</f>
        <v>565</v>
      </c>
      <c r="W127" s="42" t="str">
        <f>A123</f>
        <v>VÄRSKA VESI</v>
      </c>
      <c r="X127" s="36">
        <f t="shared" si="4"/>
        <v>2665</v>
      </c>
      <c r="Y127" s="105">
        <f>SUM(Y128:Y130)</f>
        <v>1950</v>
      </c>
      <c r="Z127" s="65">
        <f>AVERAGE(Z128,Z129,Z130)</f>
        <v>177.66666666666666</v>
      </c>
      <c r="AA127" s="142">
        <f>AVERAGE(AA128,AA129,AA130)</f>
        <v>130</v>
      </c>
      <c r="AB127" s="219">
        <f>F128+J128+N128+R128+V128</f>
        <v>2</v>
      </c>
    </row>
    <row r="128" spans="1:28" s="38" customFormat="1" ht="15.75" customHeight="1">
      <c r="A128" s="222" t="s">
        <v>144</v>
      </c>
      <c r="B128" s="223"/>
      <c r="C128" s="150">
        <v>41</v>
      </c>
      <c r="D128" s="59">
        <v>124</v>
      </c>
      <c r="E128" s="50">
        <f>D128+C128</f>
        <v>165</v>
      </c>
      <c r="F128" s="224">
        <v>0</v>
      </c>
      <c r="G128" s="225"/>
      <c r="H128" s="97">
        <v>208</v>
      </c>
      <c r="I128" s="46">
        <f>H128+C128</f>
        <v>249</v>
      </c>
      <c r="J128" s="224">
        <v>1</v>
      </c>
      <c r="K128" s="225"/>
      <c r="L128" s="97">
        <v>143</v>
      </c>
      <c r="M128" s="50">
        <f>L128+C128</f>
        <v>184</v>
      </c>
      <c r="N128" s="224">
        <v>1</v>
      </c>
      <c r="O128" s="225"/>
      <c r="P128" s="97">
        <v>100</v>
      </c>
      <c r="Q128" s="50">
        <f>P128+C128</f>
        <v>141</v>
      </c>
      <c r="R128" s="224">
        <v>0</v>
      </c>
      <c r="S128" s="225"/>
      <c r="T128" s="97">
        <v>123</v>
      </c>
      <c r="U128" s="50">
        <f>T128+C128</f>
        <v>164</v>
      </c>
      <c r="V128" s="224">
        <v>0</v>
      </c>
      <c r="W128" s="225"/>
      <c r="X128" s="46">
        <f t="shared" si="4"/>
        <v>903</v>
      </c>
      <c r="Y128" s="106">
        <f>D128+H128+L128+P128+T128</f>
        <v>698</v>
      </c>
      <c r="Z128" s="67">
        <f>AVERAGE(E128,I128,M128,Q128,U128)</f>
        <v>180.6</v>
      </c>
      <c r="AA128" s="143">
        <f>AVERAGE(E128,I128,M128,Q128,U128)-C128</f>
        <v>139.6</v>
      </c>
      <c r="AB128" s="220"/>
    </row>
    <row r="129" spans="1:28" s="38" customFormat="1" ht="15.75" customHeight="1">
      <c r="A129" s="222" t="s">
        <v>145</v>
      </c>
      <c r="B129" s="223"/>
      <c r="C129" s="150">
        <v>58</v>
      </c>
      <c r="D129" s="59">
        <v>115</v>
      </c>
      <c r="E129" s="50">
        <f>D129+C129</f>
        <v>173</v>
      </c>
      <c r="F129" s="226"/>
      <c r="G129" s="227"/>
      <c r="H129" s="98">
        <v>115</v>
      </c>
      <c r="I129" s="46">
        <f>H129+C129</f>
        <v>173</v>
      </c>
      <c r="J129" s="226"/>
      <c r="K129" s="227"/>
      <c r="L129" s="98">
        <v>134</v>
      </c>
      <c r="M129" s="50">
        <f>L129+C129</f>
        <v>192</v>
      </c>
      <c r="N129" s="226"/>
      <c r="O129" s="227"/>
      <c r="P129" s="98">
        <v>114</v>
      </c>
      <c r="Q129" s="50">
        <f>P129+C129</f>
        <v>172</v>
      </c>
      <c r="R129" s="226"/>
      <c r="S129" s="227"/>
      <c r="T129" s="98">
        <v>136</v>
      </c>
      <c r="U129" s="50">
        <f>T129+C129</f>
        <v>194</v>
      </c>
      <c r="V129" s="226"/>
      <c r="W129" s="227"/>
      <c r="X129" s="46">
        <f t="shared" si="4"/>
        <v>904</v>
      </c>
      <c r="Y129" s="106">
        <f>D129+H129+L129+P129+T129</f>
        <v>614</v>
      </c>
      <c r="Z129" s="67">
        <f>AVERAGE(E129,I129,M129,Q129,U129)</f>
        <v>180.8</v>
      </c>
      <c r="AA129" s="143">
        <f>AVERAGE(E129,I129,M129,Q129,U129)-C129</f>
        <v>122.80000000000001</v>
      </c>
      <c r="AB129" s="220"/>
    </row>
    <row r="130" spans="1:28" s="38" customFormat="1" ht="15.75" customHeight="1" thickBot="1">
      <c r="A130" s="229" t="s">
        <v>325</v>
      </c>
      <c r="B130" s="230"/>
      <c r="C130" s="151">
        <v>44</v>
      </c>
      <c r="D130" s="60">
        <v>99</v>
      </c>
      <c r="E130" s="50">
        <f>D130+C130</f>
        <v>143</v>
      </c>
      <c r="F130" s="204"/>
      <c r="G130" s="228"/>
      <c r="H130" s="99">
        <v>147</v>
      </c>
      <c r="I130" s="46">
        <f>H130+C130</f>
        <v>191</v>
      </c>
      <c r="J130" s="204"/>
      <c r="K130" s="228"/>
      <c r="L130" s="99">
        <v>125</v>
      </c>
      <c r="M130" s="50">
        <f>L130+C130</f>
        <v>169</v>
      </c>
      <c r="N130" s="204"/>
      <c r="O130" s="228"/>
      <c r="P130" s="99">
        <v>128</v>
      </c>
      <c r="Q130" s="50">
        <f>P130+C130</f>
        <v>172</v>
      </c>
      <c r="R130" s="204"/>
      <c r="S130" s="228"/>
      <c r="T130" s="99">
        <v>139</v>
      </c>
      <c r="U130" s="50">
        <f>T130+C130</f>
        <v>183</v>
      </c>
      <c r="V130" s="204"/>
      <c r="W130" s="228"/>
      <c r="X130" s="47">
        <f t="shared" si="4"/>
        <v>858</v>
      </c>
      <c r="Y130" s="107">
        <f>D130+H130+L130+P130+T130</f>
        <v>638</v>
      </c>
      <c r="Z130" s="68">
        <f>AVERAGE(E130,I130,M130,Q130,U130)</f>
        <v>171.6</v>
      </c>
      <c r="AA130" s="144">
        <f>AVERAGE(E130,I130,M130,Q130,U130)-C130</f>
        <v>127.6</v>
      </c>
      <c r="AB130" s="221"/>
    </row>
    <row r="131" spans="1:28" s="38" customFormat="1" ht="47.25" customHeight="1">
      <c r="A131" s="217" t="s">
        <v>171</v>
      </c>
      <c r="B131" s="218"/>
      <c r="C131" s="149">
        <f>SUM(C132:C134)</f>
        <v>161</v>
      </c>
      <c r="D131" s="62">
        <f>SUM(D132:D134)</f>
        <v>347</v>
      </c>
      <c r="E131" s="45">
        <f>SUM(E132:E134)</f>
        <v>508</v>
      </c>
      <c r="F131" s="45">
        <f>E135</f>
        <v>610</v>
      </c>
      <c r="G131" s="42" t="str">
        <f>A135</f>
        <v>Vest-Wood 3</v>
      </c>
      <c r="H131" s="62">
        <f>SUM(H132:H134)</f>
        <v>396</v>
      </c>
      <c r="I131" s="45">
        <f>SUM(I132:I134)</f>
        <v>557</v>
      </c>
      <c r="J131" s="45">
        <f>I143</f>
        <v>578</v>
      </c>
      <c r="K131" s="42" t="str">
        <f>A143</f>
        <v>Penn&amp; Pärlin</v>
      </c>
      <c r="L131" s="133">
        <f>SUM(L132:L134)</f>
        <v>301</v>
      </c>
      <c r="M131" s="69">
        <f>SUM(M132:M134)</f>
        <v>462</v>
      </c>
      <c r="N131" s="45">
        <f>M127</f>
        <v>545</v>
      </c>
      <c r="O131" s="42" t="str">
        <f>A127</f>
        <v>Lajos 2</v>
      </c>
      <c r="P131" s="45">
        <f>SUM(P132:P134)</f>
        <v>403</v>
      </c>
      <c r="Q131" s="49">
        <f>SUM(Q132:Q134)</f>
        <v>564</v>
      </c>
      <c r="R131" s="45">
        <f>Q123</f>
        <v>523</v>
      </c>
      <c r="S131" s="42" t="str">
        <f>A123</f>
        <v>VÄRSKA VESI</v>
      </c>
      <c r="T131" s="133">
        <f>SUM(T132:T134)</f>
        <v>384</v>
      </c>
      <c r="U131" s="69">
        <f>SUM(U132:U134)</f>
        <v>545</v>
      </c>
      <c r="V131" s="45">
        <f>U139</f>
        <v>549</v>
      </c>
      <c r="W131" s="42" t="str">
        <f>A139</f>
        <v>AKAT 2</v>
      </c>
      <c r="X131" s="36">
        <f t="shared" si="4"/>
        <v>2636</v>
      </c>
      <c r="Y131" s="105">
        <f>SUM(Y132:Y134)</f>
        <v>1831</v>
      </c>
      <c r="Z131" s="65">
        <f>AVERAGE(Z132,Z133,Z134)</f>
        <v>175.73333333333335</v>
      </c>
      <c r="AA131" s="142">
        <f>AVERAGE(AA132,AA133,AA134)</f>
        <v>122.06666666666668</v>
      </c>
      <c r="AB131" s="219">
        <f>F132+J132+N132+R132+V132</f>
        <v>1</v>
      </c>
    </row>
    <row r="132" spans="1:28" s="38" customFormat="1" ht="15.75" customHeight="1">
      <c r="A132" s="222" t="s">
        <v>182</v>
      </c>
      <c r="B132" s="223"/>
      <c r="C132" s="150">
        <v>41</v>
      </c>
      <c r="D132" s="59">
        <v>126</v>
      </c>
      <c r="E132" s="50">
        <f>D132+C132</f>
        <v>167</v>
      </c>
      <c r="F132" s="224">
        <v>0</v>
      </c>
      <c r="G132" s="225"/>
      <c r="H132" s="97">
        <v>149</v>
      </c>
      <c r="I132" s="46">
        <f>H132+C132</f>
        <v>190</v>
      </c>
      <c r="J132" s="224">
        <v>0</v>
      </c>
      <c r="K132" s="225"/>
      <c r="L132" s="97">
        <v>119</v>
      </c>
      <c r="M132" s="50">
        <f>L132+C132</f>
        <v>160</v>
      </c>
      <c r="N132" s="224">
        <v>0</v>
      </c>
      <c r="O132" s="225"/>
      <c r="P132" s="97">
        <v>150</v>
      </c>
      <c r="Q132" s="50">
        <f>P132+C132</f>
        <v>191</v>
      </c>
      <c r="R132" s="224">
        <v>1</v>
      </c>
      <c r="S132" s="225"/>
      <c r="T132" s="97">
        <v>158</v>
      </c>
      <c r="U132" s="50">
        <f>T132+C132</f>
        <v>199</v>
      </c>
      <c r="V132" s="224">
        <v>0</v>
      </c>
      <c r="W132" s="225"/>
      <c r="X132" s="46">
        <f t="shared" si="4"/>
        <v>907</v>
      </c>
      <c r="Y132" s="106">
        <f>D132+H132+L132+P132+T132</f>
        <v>702</v>
      </c>
      <c r="Z132" s="67">
        <f>AVERAGE(E132,I132,M132,Q132,U132)</f>
        <v>181.4</v>
      </c>
      <c r="AA132" s="143">
        <f>AVERAGE(E132,I132,M132,Q132,U132)-C132</f>
        <v>140.4</v>
      </c>
      <c r="AB132" s="220"/>
    </row>
    <row r="133" spans="1:28" s="38" customFormat="1" ht="15.75" customHeight="1">
      <c r="A133" s="222" t="s">
        <v>322</v>
      </c>
      <c r="B133" s="223"/>
      <c r="C133" s="150">
        <v>60</v>
      </c>
      <c r="D133" s="59">
        <v>117</v>
      </c>
      <c r="E133" s="50">
        <f>D133+C133</f>
        <v>177</v>
      </c>
      <c r="F133" s="226"/>
      <c r="G133" s="227"/>
      <c r="H133" s="98">
        <v>108</v>
      </c>
      <c r="I133" s="46">
        <f>H133+C133</f>
        <v>168</v>
      </c>
      <c r="J133" s="226"/>
      <c r="K133" s="227"/>
      <c r="L133" s="98">
        <v>96</v>
      </c>
      <c r="M133" s="50">
        <f>L133+C133</f>
        <v>156</v>
      </c>
      <c r="N133" s="226"/>
      <c r="O133" s="227"/>
      <c r="P133" s="98">
        <v>114</v>
      </c>
      <c r="Q133" s="50">
        <f>P133+C133</f>
        <v>174</v>
      </c>
      <c r="R133" s="226"/>
      <c r="S133" s="227"/>
      <c r="T133" s="98">
        <v>105</v>
      </c>
      <c r="U133" s="50">
        <f>T133+C133</f>
        <v>165</v>
      </c>
      <c r="V133" s="226"/>
      <c r="W133" s="227"/>
      <c r="X133" s="46">
        <f t="shared" si="4"/>
        <v>840</v>
      </c>
      <c r="Y133" s="106">
        <f>D133+H133+L133+P133+T133</f>
        <v>540</v>
      </c>
      <c r="Z133" s="67">
        <f>AVERAGE(E133,I133,M133,Q133,U133)</f>
        <v>168</v>
      </c>
      <c r="AA133" s="143">
        <f>AVERAGE(E133,I133,M133,Q133,U133)-C133</f>
        <v>108</v>
      </c>
      <c r="AB133" s="220"/>
    </row>
    <row r="134" spans="1:28" s="38" customFormat="1" ht="15.75" customHeight="1" thickBot="1">
      <c r="A134" s="229" t="s">
        <v>184</v>
      </c>
      <c r="B134" s="230"/>
      <c r="C134" s="151">
        <v>60</v>
      </c>
      <c r="D134" s="60">
        <v>104</v>
      </c>
      <c r="E134" s="50">
        <f>D134+C134</f>
        <v>164</v>
      </c>
      <c r="F134" s="204"/>
      <c r="G134" s="228"/>
      <c r="H134" s="99">
        <v>139</v>
      </c>
      <c r="I134" s="46">
        <f>H134+C134</f>
        <v>199</v>
      </c>
      <c r="J134" s="204"/>
      <c r="K134" s="228"/>
      <c r="L134" s="99">
        <v>86</v>
      </c>
      <c r="M134" s="50">
        <f>L134+C134</f>
        <v>146</v>
      </c>
      <c r="N134" s="204"/>
      <c r="O134" s="228"/>
      <c r="P134" s="99">
        <v>139</v>
      </c>
      <c r="Q134" s="50">
        <f>P134+C134</f>
        <v>199</v>
      </c>
      <c r="R134" s="204"/>
      <c r="S134" s="228"/>
      <c r="T134" s="99">
        <v>121</v>
      </c>
      <c r="U134" s="50">
        <f>T134+C134</f>
        <v>181</v>
      </c>
      <c r="V134" s="204"/>
      <c r="W134" s="228"/>
      <c r="X134" s="47">
        <f t="shared" si="4"/>
        <v>889</v>
      </c>
      <c r="Y134" s="107">
        <f>D134+H134+L134+P134+T134</f>
        <v>589</v>
      </c>
      <c r="Z134" s="68">
        <f>AVERAGE(E134,I134,M134,Q134,U134)</f>
        <v>177.8</v>
      </c>
      <c r="AA134" s="144">
        <f>AVERAGE(E134,I134,M134,Q134,U134)-C134</f>
        <v>117.80000000000001</v>
      </c>
      <c r="AB134" s="221"/>
    </row>
    <row r="135" spans="1:28" s="38" customFormat="1" ht="39" customHeight="1">
      <c r="A135" s="217" t="s">
        <v>74</v>
      </c>
      <c r="B135" s="218"/>
      <c r="C135" s="149">
        <f>SUM(C136:C138)</f>
        <v>139</v>
      </c>
      <c r="D135" s="62">
        <f>SUM(D136:D138)</f>
        <v>471</v>
      </c>
      <c r="E135" s="45">
        <f>SUM(E136:E138)</f>
        <v>610</v>
      </c>
      <c r="F135" s="45">
        <f>E131</f>
        <v>508</v>
      </c>
      <c r="G135" s="42" t="str">
        <f>A131</f>
        <v>STIK</v>
      </c>
      <c r="H135" s="62">
        <f>SUM(H136:H138)</f>
        <v>339</v>
      </c>
      <c r="I135" s="45">
        <f>SUM(I136:I138)</f>
        <v>478</v>
      </c>
      <c r="J135" s="45">
        <f>I127</f>
        <v>613</v>
      </c>
      <c r="K135" s="42" t="str">
        <f>A127</f>
        <v>Lajos 2</v>
      </c>
      <c r="L135" s="133">
        <f>SUM(L136:L138)</f>
        <v>488</v>
      </c>
      <c r="M135" s="49">
        <f>SUM(M136:M138)</f>
        <v>627</v>
      </c>
      <c r="N135" s="45">
        <f>M123</f>
        <v>527</v>
      </c>
      <c r="O135" s="42" t="str">
        <f>A123</f>
        <v>VÄRSKA VESI</v>
      </c>
      <c r="P135" s="45">
        <f>SUM(P136:P138)</f>
        <v>407</v>
      </c>
      <c r="Q135" s="49">
        <f>SUM(Q136:Q138)</f>
        <v>546</v>
      </c>
      <c r="R135" s="45">
        <f>Q139</f>
        <v>538</v>
      </c>
      <c r="S135" s="42" t="str">
        <f>A139</f>
        <v>AKAT 2</v>
      </c>
      <c r="T135" s="133">
        <f>SUM(T136:T138)</f>
        <v>414</v>
      </c>
      <c r="U135" s="49">
        <f>SUM(U136:U138)</f>
        <v>553</v>
      </c>
      <c r="V135" s="45">
        <f>U143</f>
        <v>534</v>
      </c>
      <c r="W135" s="42" t="str">
        <f>A143</f>
        <v>Penn&amp; Pärlin</v>
      </c>
      <c r="X135" s="36">
        <f t="shared" si="4"/>
        <v>2814</v>
      </c>
      <c r="Y135" s="105">
        <f>SUM(Y136:Y138)</f>
        <v>2119</v>
      </c>
      <c r="Z135" s="65">
        <f>AVERAGE(Z136,Z137,Z138)</f>
        <v>187.6</v>
      </c>
      <c r="AA135" s="142">
        <f>AVERAGE(AA136,AA137,AA138)</f>
        <v>141.26666666666665</v>
      </c>
      <c r="AB135" s="219">
        <f>F136+J136+N136+R136+V136</f>
        <v>4</v>
      </c>
    </row>
    <row r="136" spans="1:28" s="38" customFormat="1" ht="15.75" customHeight="1">
      <c r="A136" s="222" t="s">
        <v>83</v>
      </c>
      <c r="B136" s="223"/>
      <c r="C136" s="150">
        <v>42</v>
      </c>
      <c r="D136" s="59">
        <v>183</v>
      </c>
      <c r="E136" s="50">
        <f>D136+C136</f>
        <v>225</v>
      </c>
      <c r="F136" s="224">
        <v>1</v>
      </c>
      <c r="G136" s="225"/>
      <c r="H136" s="97">
        <v>144</v>
      </c>
      <c r="I136" s="46">
        <f>H136+C136</f>
        <v>186</v>
      </c>
      <c r="J136" s="224">
        <v>0</v>
      </c>
      <c r="K136" s="225"/>
      <c r="L136" s="97">
        <v>182</v>
      </c>
      <c r="M136" s="50">
        <f>L136+C136</f>
        <v>224</v>
      </c>
      <c r="N136" s="224">
        <v>1</v>
      </c>
      <c r="O136" s="225"/>
      <c r="P136" s="97">
        <v>129</v>
      </c>
      <c r="Q136" s="50">
        <f>P136+C136</f>
        <v>171</v>
      </c>
      <c r="R136" s="224">
        <v>1</v>
      </c>
      <c r="S136" s="225"/>
      <c r="T136" s="97">
        <v>158</v>
      </c>
      <c r="U136" s="50">
        <f>T136+C136</f>
        <v>200</v>
      </c>
      <c r="V136" s="224">
        <v>1</v>
      </c>
      <c r="W136" s="225"/>
      <c r="X136" s="46">
        <f t="shared" si="4"/>
        <v>1006</v>
      </c>
      <c r="Y136" s="106">
        <f>D136+H136+L136+P136+T136</f>
        <v>796</v>
      </c>
      <c r="Z136" s="67">
        <f>AVERAGE(E136,I136,M136,Q136,U136)</f>
        <v>201.2</v>
      </c>
      <c r="AA136" s="143">
        <f>AVERAGE(E136,I136,M136,Q136,U136)-C136</f>
        <v>159.2</v>
      </c>
      <c r="AB136" s="220"/>
    </row>
    <row r="137" spans="1:28" s="38" customFormat="1" ht="15.75" customHeight="1">
      <c r="A137" s="222" t="s">
        <v>82</v>
      </c>
      <c r="B137" s="223"/>
      <c r="C137" s="150">
        <v>60</v>
      </c>
      <c r="D137" s="59">
        <v>100</v>
      </c>
      <c r="E137" s="50">
        <f>D137+C137</f>
        <v>160</v>
      </c>
      <c r="F137" s="226"/>
      <c r="G137" s="227"/>
      <c r="H137" s="98">
        <v>79</v>
      </c>
      <c r="I137" s="46">
        <f>H137+C137</f>
        <v>139</v>
      </c>
      <c r="J137" s="226"/>
      <c r="K137" s="227"/>
      <c r="L137" s="98">
        <v>130</v>
      </c>
      <c r="M137" s="50">
        <f>L137+C137</f>
        <v>190</v>
      </c>
      <c r="N137" s="226"/>
      <c r="O137" s="227"/>
      <c r="P137" s="98">
        <v>114</v>
      </c>
      <c r="Q137" s="50">
        <f>P137+C137</f>
        <v>174</v>
      </c>
      <c r="R137" s="226"/>
      <c r="S137" s="227"/>
      <c r="T137" s="98">
        <v>123</v>
      </c>
      <c r="U137" s="50">
        <f>T137+C137</f>
        <v>183</v>
      </c>
      <c r="V137" s="226"/>
      <c r="W137" s="227"/>
      <c r="X137" s="46">
        <f t="shared" si="4"/>
        <v>846</v>
      </c>
      <c r="Y137" s="106">
        <f>D137+H137+L137+P137+T137</f>
        <v>546</v>
      </c>
      <c r="Z137" s="67">
        <f>AVERAGE(E137,I137,M137,Q137,U137)</f>
        <v>169.2</v>
      </c>
      <c r="AA137" s="143">
        <f>AVERAGE(E137,I137,M137,Q137,U137)-C137</f>
        <v>109.19999999999999</v>
      </c>
      <c r="AB137" s="220"/>
    </row>
    <row r="138" spans="1:29" s="38" customFormat="1" ht="15.75" customHeight="1" thickBot="1">
      <c r="A138" s="229" t="s">
        <v>81</v>
      </c>
      <c r="B138" s="230"/>
      <c r="C138" s="151">
        <v>37</v>
      </c>
      <c r="D138" s="60">
        <v>188</v>
      </c>
      <c r="E138" s="50">
        <f>D138+C138</f>
        <v>225</v>
      </c>
      <c r="F138" s="204"/>
      <c r="G138" s="228"/>
      <c r="H138" s="99">
        <v>116</v>
      </c>
      <c r="I138" s="46">
        <f>H138+C138</f>
        <v>153</v>
      </c>
      <c r="J138" s="204"/>
      <c r="K138" s="228"/>
      <c r="L138" s="99">
        <v>176</v>
      </c>
      <c r="M138" s="50">
        <f>L138+C138</f>
        <v>213</v>
      </c>
      <c r="N138" s="204"/>
      <c r="O138" s="228"/>
      <c r="P138" s="99">
        <v>164</v>
      </c>
      <c r="Q138" s="50">
        <f>P138+C138</f>
        <v>201</v>
      </c>
      <c r="R138" s="204"/>
      <c r="S138" s="228"/>
      <c r="T138" s="99">
        <v>133</v>
      </c>
      <c r="U138" s="50">
        <f>T138+C138</f>
        <v>170</v>
      </c>
      <c r="V138" s="204"/>
      <c r="W138" s="228"/>
      <c r="X138" s="47">
        <f t="shared" si="4"/>
        <v>962</v>
      </c>
      <c r="Y138" s="107">
        <f>D138+H138+L138+P138+T138</f>
        <v>777</v>
      </c>
      <c r="Z138" s="68">
        <f>AVERAGE(E138,I138,M138,Q138,U138)</f>
        <v>192.4</v>
      </c>
      <c r="AA138" s="144">
        <f>AVERAGE(E138,I138,M138,Q138,U138)-C138</f>
        <v>155.4</v>
      </c>
      <c r="AB138" s="221"/>
      <c r="AC138" s="44"/>
    </row>
    <row r="139" spans="1:28" s="38" customFormat="1" ht="53.25" customHeight="1">
      <c r="A139" s="217" t="s">
        <v>13</v>
      </c>
      <c r="B139" s="218"/>
      <c r="C139" s="149">
        <f>SUM(C140:C142)</f>
        <v>157</v>
      </c>
      <c r="D139" s="62">
        <f>SUM(D140:D142)</f>
        <v>345</v>
      </c>
      <c r="E139" s="45">
        <f>SUM(E140:E142)</f>
        <v>502</v>
      </c>
      <c r="F139" s="45">
        <f>E127</f>
        <v>481</v>
      </c>
      <c r="G139" s="42" t="str">
        <f>A127</f>
        <v>Lajos 2</v>
      </c>
      <c r="H139" s="62">
        <f>SUM(H140:H142)</f>
        <v>355</v>
      </c>
      <c r="I139" s="45">
        <f>SUM(I140:I142)</f>
        <v>512</v>
      </c>
      <c r="J139" s="45">
        <f>I123</f>
        <v>539</v>
      </c>
      <c r="K139" s="42" t="str">
        <f>A123</f>
        <v>VÄRSKA VESI</v>
      </c>
      <c r="L139" s="133">
        <f>SUM(L140:L142)</f>
        <v>340</v>
      </c>
      <c r="M139" s="69">
        <f>SUM(M140:M142)</f>
        <v>497</v>
      </c>
      <c r="N139" s="45">
        <f>M143</f>
        <v>549</v>
      </c>
      <c r="O139" s="42" t="str">
        <f>A143</f>
        <v>Penn&amp; Pärlin</v>
      </c>
      <c r="P139" s="45">
        <f>SUM(P140:P142)</f>
        <v>381</v>
      </c>
      <c r="Q139" s="69">
        <f>SUM(Q140:Q142)</f>
        <v>538</v>
      </c>
      <c r="R139" s="45">
        <f>Q135</f>
        <v>546</v>
      </c>
      <c r="S139" s="42" t="str">
        <f>A135</f>
        <v>Vest-Wood 3</v>
      </c>
      <c r="T139" s="133">
        <f>SUM(T140:T142)</f>
        <v>392</v>
      </c>
      <c r="U139" s="69">
        <f>SUM(U140:U142)</f>
        <v>549</v>
      </c>
      <c r="V139" s="45">
        <f>U131</f>
        <v>545</v>
      </c>
      <c r="W139" s="42" t="str">
        <f>A131</f>
        <v>STIK</v>
      </c>
      <c r="X139" s="36">
        <f t="shared" si="4"/>
        <v>2598</v>
      </c>
      <c r="Y139" s="105">
        <f>SUM(Y140:Y142)</f>
        <v>1813</v>
      </c>
      <c r="Z139" s="65">
        <f>AVERAGE(Z140,Z141,Z142)</f>
        <v>173.20000000000002</v>
      </c>
      <c r="AA139" s="142">
        <f>AVERAGE(AA140,AA141,AA142)</f>
        <v>120.86666666666667</v>
      </c>
      <c r="AB139" s="219">
        <f>F140+J140+N140+R140+V140</f>
        <v>2</v>
      </c>
    </row>
    <row r="140" spans="1:28" s="38" customFormat="1" ht="15.75" customHeight="1">
      <c r="A140" s="222" t="s">
        <v>56</v>
      </c>
      <c r="B140" s="223"/>
      <c r="C140" s="150">
        <v>42</v>
      </c>
      <c r="D140" s="59">
        <v>125</v>
      </c>
      <c r="E140" s="50">
        <f>D140+C140</f>
        <v>167</v>
      </c>
      <c r="F140" s="224">
        <v>1</v>
      </c>
      <c r="G140" s="225"/>
      <c r="H140" s="97">
        <v>153</v>
      </c>
      <c r="I140" s="46">
        <f>H140+C140</f>
        <v>195</v>
      </c>
      <c r="J140" s="224">
        <v>0</v>
      </c>
      <c r="K140" s="225"/>
      <c r="L140" s="97">
        <v>122</v>
      </c>
      <c r="M140" s="50">
        <f>L140+C140</f>
        <v>164</v>
      </c>
      <c r="N140" s="224">
        <v>0</v>
      </c>
      <c r="O140" s="225"/>
      <c r="P140" s="97">
        <v>102</v>
      </c>
      <c r="Q140" s="50">
        <f>P140+C140</f>
        <v>144</v>
      </c>
      <c r="R140" s="224">
        <v>0</v>
      </c>
      <c r="S140" s="225"/>
      <c r="T140" s="97">
        <v>119</v>
      </c>
      <c r="U140" s="50">
        <f>T140+C140</f>
        <v>161</v>
      </c>
      <c r="V140" s="224">
        <v>1</v>
      </c>
      <c r="W140" s="225"/>
      <c r="X140" s="46">
        <f t="shared" si="4"/>
        <v>831</v>
      </c>
      <c r="Y140" s="106">
        <f>D140+H140+L140+P140+T140</f>
        <v>621</v>
      </c>
      <c r="Z140" s="67">
        <f>AVERAGE(E140,I140,M140,Q140,U140)</f>
        <v>166.2</v>
      </c>
      <c r="AA140" s="143">
        <f>AVERAGE(E140,I140,M140,Q140,U140)-C140</f>
        <v>124.19999999999999</v>
      </c>
      <c r="AB140" s="220"/>
    </row>
    <row r="141" spans="1:28" s="38" customFormat="1" ht="15.75" customHeight="1">
      <c r="A141" s="222" t="s">
        <v>301</v>
      </c>
      <c r="B141" s="223"/>
      <c r="C141" s="150">
        <v>60</v>
      </c>
      <c r="D141" s="59">
        <v>119</v>
      </c>
      <c r="E141" s="50">
        <f>D141+C141</f>
        <v>179</v>
      </c>
      <c r="F141" s="226"/>
      <c r="G141" s="227"/>
      <c r="H141" s="98">
        <v>100</v>
      </c>
      <c r="I141" s="46">
        <f>H141+C141</f>
        <v>160</v>
      </c>
      <c r="J141" s="226"/>
      <c r="K141" s="227"/>
      <c r="L141" s="98">
        <v>112</v>
      </c>
      <c r="M141" s="50">
        <f>L141+C141</f>
        <v>172</v>
      </c>
      <c r="N141" s="226"/>
      <c r="O141" s="227"/>
      <c r="P141" s="98">
        <v>119</v>
      </c>
      <c r="Q141" s="50">
        <f>P141+C141</f>
        <v>179</v>
      </c>
      <c r="R141" s="226"/>
      <c r="S141" s="227"/>
      <c r="T141" s="98">
        <v>160</v>
      </c>
      <c r="U141" s="50">
        <f>T141+C141</f>
        <v>220</v>
      </c>
      <c r="V141" s="226"/>
      <c r="W141" s="227"/>
      <c r="X141" s="46">
        <f t="shared" si="4"/>
        <v>910</v>
      </c>
      <c r="Y141" s="106">
        <f>D141+H141+L141+P141+T141</f>
        <v>610</v>
      </c>
      <c r="Z141" s="67">
        <f>AVERAGE(E141,I141,M141,Q141,U141)</f>
        <v>182</v>
      </c>
      <c r="AA141" s="143">
        <f>AVERAGE(E141,I141,M141,Q141,U141)-C141</f>
        <v>122</v>
      </c>
      <c r="AB141" s="220"/>
    </row>
    <row r="142" spans="1:28" s="38" customFormat="1" ht="15.75" customHeight="1" thickBot="1">
      <c r="A142" s="229" t="s">
        <v>58</v>
      </c>
      <c r="B142" s="230"/>
      <c r="C142" s="151">
        <v>55</v>
      </c>
      <c r="D142" s="60">
        <v>101</v>
      </c>
      <c r="E142" s="50">
        <f>D142+C142</f>
        <v>156</v>
      </c>
      <c r="F142" s="204"/>
      <c r="G142" s="228"/>
      <c r="H142" s="99">
        <v>102</v>
      </c>
      <c r="I142" s="46">
        <f>H142+C142</f>
        <v>157</v>
      </c>
      <c r="J142" s="204"/>
      <c r="K142" s="228"/>
      <c r="L142" s="99">
        <v>106</v>
      </c>
      <c r="M142" s="50">
        <f>L142+C142</f>
        <v>161</v>
      </c>
      <c r="N142" s="204"/>
      <c r="O142" s="228"/>
      <c r="P142" s="99">
        <v>160</v>
      </c>
      <c r="Q142" s="50">
        <f>P142+C142</f>
        <v>215</v>
      </c>
      <c r="R142" s="204"/>
      <c r="S142" s="228"/>
      <c r="T142" s="99">
        <v>113</v>
      </c>
      <c r="U142" s="50">
        <f>T142+C142</f>
        <v>168</v>
      </c>
      <c r="V142" s="204"/>
      <c r="W142" s="228"/>
      <c r="X142" s="47">
        <f t="shared" si="4"/>
        <v>857</v>
      </c>
      <c r="Y142" s="107">
        <f>D142+H142+L142+P142+T142</f>
        <v>582</v>
      </c>
      <c r="Z142" s="68">
        <f>AVERAGE(E142,I142,M142,Q142,U142)</f>
        <v>171.4</v>
      </c>
      <c r="AA142" s="144">
        <f>AVERAGE(E142,I142,M142,Q142,U142)-C142</f>
        <v>116.4</v>
      </c>
      <c r="AB142" s="221"/>
    </row>
    <row r="143" spans="1:28" s="38" customFormat="1" ht="42" customHeight="1">
      <c r="A143" s="217" t="s">
        <v>324</v>
      </c>
      <c r="B143" s="218"/>
      <c r="C143" s="149">
        <f>SUM(C144:C146)</f>
        <v>87</v>
      </c>
      <c r="D143" s="62">
        <f>SUM(D144:D146)</f>
        <v>496</v>
      </c>
      <c r="E143" s="45">
        <f>SUM(E144:E146)</f>
        <v>583</v>
      </c>
      <c r="F143" s="45">
        <f>E123</f>
        <v>572</v>
      </c>
      <c r="G143" s="42" t="str">
        <f>A123</f>
        <v>VÄRSKA VESI</v>
      </c>
      <c r="H143" s="62">
        <f>SUM(H144:H146)</f>
        <v>491</v>
      </c>
      <c r="I143" s="45">
        <f>SUM(I144:I146)</f>
        <v>578</v>
      </c>
      <c r="J143" s="45">
        <f>I131</f>
        <v>557</v>
      </c>
      <c r="K143" s="42" t="str">
        <f>A131</f>
        <v>STIK</v>
      </c>
      <c r="L143" s="133">
        <f>SUM(L144:L146)</f>
        <v>462</v>
      </c>
      <c r="M143" s="49">
        <f>SUM(M144:M146)</f>
        <v>549</v>
      </c>
      <c r="N143" s="45">
        <f>M139</f>
        <v>497</v>
      </c>
      <c r="O143" s="42" t="str">
        <f>A139</f>
        <v>AKAT 2</v>
      </c>
      <c r="P143" s="45">
        <f>SUM(P144:P146)</f>
        <v>495</v>
      </c>
      <c r="Q143" s="49">
        <f>SUM(Q144:Q146)</f>
        <v>582</v>
      </c>
      <c r="R143" s="45">
        <f>Q127</f>
        <v>485</v>
      </c>
      <c r="S143" s="42" t="str">
        <f>A127</f>
        <v>Lajos 2</v>
      </c>
      <c r="T143" s="133">
        <f>SUM(T144:T146)</f>
        <v>447</v>
      </c>
      <c r="U143" s="49">
        <f>SUM(U144:U146)</f>
        <v>534</v>
      </c>
      <c r="V143" s="45">
        <f>U135</f>
        <v>553</v>
      </c>
      <c r="W143" s="42" t="str">
        <f>A135</f>
        <v>Vest-Wood 3</v>
      </c>
      <c r="X143" s="36">
        <f t="shared" si="4"/>
        <v>2826</v>
      </c>
      <c r="Y143" s="105">
        <f>SUM(Y144:Y146)</f>
        <v>2391</v>
      </c>
      <c r="Z143" s="65">
        <f>AVERAGE(Z144,Z145,Z146)</f>
        <v>188.39999999999998</v>
      </c>
      <c r="AA143" s="142">
        <f>AVERAGE(AA144,AA145,AA146)</f>
        <v>159.39999999999998</v>
      </c>
      <c r="AB143" s="219">
        <f>F144+J144+N144+R144+V144</f>
        <v>4</v>
      </c>
    </row>
    <row r="144" spans="1:28" s="38" customFormat="1" ht="15.75" customHeight="1">
      <c r="A144" s="222" t="s">
        <v>334</v>
      </c>
      <c r="B144" s="223"/>
      <c r="C144" s="150">
        <v>26</v>
      </c>
      <c r="D144" s="59">
        <v>150</v>
      </c>
      <c r="E144" s="50">
        <f>D144+C144</f>
        <v>176</v>
      </c>
      <c r="F144" s="224">
        <v>1</v>
      </c>
      <c r="G144" s="225"/>
      <c r="H144" s="97">
        <v>160</v>
      </c>
      <c r="I144" s="46">
        <f>H144+C144</f>
        <v>186</v>
      </c>
      <c r="J144" s="224">
        <v>1</v>
      </c>
      <c r="K144" s="225"/>
      <c r="L144" s="97">
        <v>184</v>
      </c>
      <c r="M144" s="50">
        <f>L144+C144</f>
        <v>210</v>
      </c>
      <c r="N144" s="224">
        <v>1</v>
      </c>
      <c r="O144" s="225"/>
      <c r="P144" s="97">
        <v>164</v>
      </c>
      <c r="Q144" s="50">
        <f>P144+C144</f>
        <v>190</v>
      </c>
      <c r="R144" s="224">
        <v>1</v>
      </c>
      <c r="S144" s="225"/>
      <c r="T144" s="97">
        <v>163</v>
      </c>
      <c r="U144" s="50">
        <f>T144+C144</f>
        <v>189</v>
      </c>
      <c r="V144" s="224">
        <v>0</v>
      </c>
      <c r="W144" s="225"/>
      <c r="X144" s="46">
        <f t="shared" si="4"/>
        <v>951</v>
      </c>
      <c r="Y144" s="106">
        <f>D144+H144+L144+P144+T144</f>
        <v>821</v>
      </c>
      <c r="Z144" s="67">
        <f>AVERAGE(E144,I144,M144,Q144,U144)</f>
        <v>190.2</v>
      </c>
      <c r="AA144" s="143">
        <f>AVERAGE(E144,I144,M144,Q144,U144)-C144</f>
        <v>164.2</v>
      </c>
      <c r="AB144" s="220"/>
    </row>
    <row r="145" spans="1:28" s="38" customFormat="1" ht="15.75" customHeight="1">
      <c r="A145" s="222" t="s">
        <v>212</v>
      </c>
      <c r="B145" s="223"/>
      <c r="C145" s="150">
        <v>20</v>
      </c>
      <c r="D145" s="59">
        <v>176</v>
      </c>
      <c r="E145" s="50">
        <f>D145+C145</f>
        <v>196</v>
      </c>
      <c r="F145" s="226"/>
      <c r="G145" s="227"/>
      <c r="H145" s="98">
        <v>175</v>
      </c>
      <c r="I145" s="46">
        <f>H145+C145</f>
        <v>195</v>
      </c>
      <c r="J145" s="226"/>
      <c r="K145" s="227"/>
      <c r="L145" s="98">
        <v>173</v>
      </c>
      <c r="M145" s="50">
        <f>L145+C145</f>
        <v>193</v>
      </c>
      <c r="N145" s="226"/>
      <c r="O145" s="227"/>
      <c r="P145" s="98">
        <v>203</v>
      </c>
      <c r="Q145" s="50">
        <f>P145+C145</f>
        <v>223</v>
      </c>
      <c r="R145" s="226"/>
      <c r="S145" s="227"/>
      <c r="T145" s="98">
        <v>151</v>
      </c>
      <c r="U145" s="50">
        <f>T145+C145</f>
        <v>171</v>
      </c>
      <c r="V145" s="226"/>
      <c r="W145" s="227"/>
      <c r="X145" s="46">
        <f t="shared" si="4"/>
        <v>978</v>
      </c>
      <c r="Y145" s="106">
        <f>D145+H145+L145+P145+T145</f>
        <v>878</v>
      </c>
      <c r="Z145" s="67">
        <f>AVERAGE(E145,I145,M145,Q145,U145)</f>
        <v>195.6</v>
      </c>
      <c r="AA145" s="143">
        <f>AVERAGE(E145,I145,M145,Q145,U145)-C145</f>
        <v>175.6</v>
      </c>
      <c r="AB145" s="220"/>
    </row>
    <row r="146" spans="1:28" s="38" customFormat="1" ht="15.75" customHeight="1" thickBot="1">
      <c r="A146" s="229" t="s">
        <v>278</v>
      </c>
      <c r="B146" s="230"/>
      <c r="C146" s="151">
        <v>41</v>
      </c>
      <c r="D146" s="60">
        <v>170</v>
      </c>
      <c r="E146" s="50">
        <f>D146+C146</f>
        <v>211</v>
      </c>
      <c r="F146" s="204"/>
      <c r="G146" s="228"/>
      <c r="H146" s="99">
        <v>156</v>
      </c>
      <c r="I146" s="46">
        <f>H146+C146</f>
        <v>197</v>
      </c>
      <c r="J146" s="204"/>
      <c r="K146" s="228"/>
      <c r="L146" s="99">
        <v>105</v>
      </c>
      <c r="M146" s="50">
        <f>L146+C146</f>
        <v>146</v>
      </c>
      <c r="N146" s="204"/>
      <c r="O146" s="228"/>
      <c r="P146" s="99">
        <v>128</v>
      </c>
      <c r="Q146" s="50">
        <f>P146+C146</f>
        <v>169</v>
      </c>
      <c r="R146" s="204"/>
      <c r="S146" s="228"/>
      <c r="T146" s="99">
        <v>133</v>
      </c>
      <c r="U146" s="50">
        <f>T146+C146</f>
        <v>174</v>
      </c>
      <c r="V146" s="204"/>
      <c r="W146" s="228"/>
      <c r="X146" s="47">
        <f t="shared" si="4"/>
        <v>897</v>
      </c>
      <c r="Y146" s="107">
        <f>D146+H146+L146+P146+T146</f>
        <v>692</v>
      </c>
      <c r="Z146" s="68">
        <f>AVERAGE(E146,I146,M146,Q146,U146)</f>
        <v>179.4</v>
      </c>
      <c r="AA146" s="144">
        <f>AVERAGE(E146,I146,M146,Q146,U146)-C146</f>
        <v>138.4</v>
      </c>
      <c r="AB146" s="221"/>
    </row>
    <row r="147" spans="1:28" s="40" customFormat="1" ht="9" customHeight="1">
      <c r="A147" s="207" t="s">
        <v>339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4"/>
      <c r="W147" s="25"/>
      <c r="Y147" s="57"/>
      <c r="Z147" s="41"/>
      <c r="AA147" s="139"/>
      <c r="AB147" s="25"/>
    </row>
    <row r="148" spans="1:28" s="40" customFormat="1" ht="6" customHeigh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4"/>
      <c r="W148" s="25"/>
      <c r="Y148" s="57"/>
      <c r="Z148" s="41"/>
      <c r="AA148" s="139"/>
      <c r="AB148" s="25"/>
    </row>
    <row r="149" spans="1:28" s="40" customFormat="1" ht="23.25" customHeight="1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5"/>
      <c r="W149" s="25"/>
      <c r="Y149" s="57"/>
      <c r="Z149" s="41"/>
      <c r="AA149" s="139"/>
      <c r="AB149" s="25"/>
    </row>
    <row r="150" spans="1:28" s="31" customFormat="1" ht="15.75" customHeight="1">
      <c r="A150" s="209" t="s">
        <v>0</v>
      </c>
      <c r="B150" s="210"/>
      <c r="C150" s="147" t="s">
        <v>39</v>
      </c>
      <c r="D150" s="55"/>
      <c r="E150" s="27" t="s">
        <v>1</v>
      </c>
      <c r="F150" s="211" t="s">
        <v>2</v>
      </c>
      <c r="G150" s="212"/>
      <c r="H150" s="94"/>
      <c r="I150" s="27" t="s">
        <v>3</v>
      </c>
      <c r="J150" s="211" t="s">
        <v>2</v>
      </c>
      <c r="K150" s="212"/>
      <c r="L150" s="94"/>
      <c r="M150" s="27" t="s">
        <v>4</v>
      </c>
      <c r="N150" s="211" t="s">
        <v>2</v>
      </c>
      <c r="O150" s="212"/>
      <c r="P150" s="94"/>
      <c r="Q150" s="27" t="s">
        <v>5</v>
      </c>
      <c r="R150" s="211" t="s">
        <v>2</v>
      </c>
      <c r="S150" s="212"/>
      <c r="T150" s="94"/>
      <c r="U150" s="27" t="s">
        <v>6</v>
      </c>
      <c r="V150" s="211" t="s">
        <v>2</v>
      </c>
      <c r="W150" s="212"/>
      <c r="X150" s="28" t="s">
        <v>7</v>
      </c>
      <c r="Y150" s="104"/>
      <c r="Z150" s="29" t="s">
        <v>40</v>
      </c>
      <c r="AA150" s="140" t="s">
        <v>42</v>
      </c>
      <c r="AB150" s="30" t="s">
        <v>7</v>
      </c>
    </row>
    <row r="151" spans="1:28" s="31" customFormat="1" ht="15.75" customHeight="1" thickBot="1">
      <c r="A151" s="213" t="s">
        <v>9</v>
      </c>
      <c r="B151" s="214"/>
      <c r="C151" s="148"/>
      <c r="D151" s="56"/>
      <c r="E151" s="32" t="s">
        <v>10</v>
      </c>
      <c r="F151" s="211" t="s">
        <v>11</v>
      </c>
      <c r="G151" s="212"/>
      <c r="H151" s="95"/>
      <c r="I151" s="32" t="s">
        <v>10</v>
      </c>
      <c r="J151" s="215" t="s">
        <v>11</v>
      </c>
      <c r="K151" s="216"/>
      <c r="L151" s="95"/>
      <c r="M151" s="32" t="s">
        <v>10</v>
      </c>
      <c r="N151" s="215" t="s">
        <v>11</v>
      </c>
      <c r="O151" s="216"/>
      <c r="P151" s="95"/>
      <c r="Q151" s="32" t="s">
        <v>10</v>
      </c>
      <c r="R151" s="215" t="s">
        <v>11</v>
      </c>
      <c r="S151" s="216"/>
      <c r="T151" s="95"/>
      <c r="U151" s="32" t="s">
        <v>10</v>
      </c>
      <c r="V151" s="215" t="s">
        <v>11</v>
      </c>
      <c r="W151" s="216"/>
      <c r="X151" s="33" t="s">
        <v>10</v>
      </c>
      <c r="Y151" s="134" t="s">
        <v>287</v>
      </c>
      <c r="Z151" s="34" t="s">
        <v>41</v>
      </c>
      <c r="AA151" s="141" t="s">
        <v>43</v>
      </c>
      <c r="AB151" s="35" t="s">
        <v>12</v>
      </c>
    </row>
    <row r="152" spans="1:28" s="38" customFormat="1" ht="42" customHeight="1">
      <c r="A152" s="217" t="s">
        <v>318</v>
      </c>
      <c r="B152" s="218"/>
      <c r="C152" s="149">
        <f>SUM(C153:C155)</f>
        <v>111</v>
      </c>
      <c r="D152" s="62">
        <f>SUM(D153:D155)</f>
        <v>390</v>
      </c>
      <c r="E152" s="63">
        <f>SUM(E153:E155)</f>
        <v>501</v>
      </c>
      <c r="F152" s="46">
        <f>E172</f>
        <v>492</v>
      </c>
      <c r="G152" s="64" t="str">
        <f>A172</f>
        <v>RT EHITUS</v>
      </c>
      <c r="H152" s="62">
        <f>SUM(H153:H155)</f>
        <v>501</v>
      </c>
      <c r="I152" s="49">
        <f>SUM(I153:I155)</f>
        <v>612</v>
      </c>
      <c r="J152" s="49">
        <f>I168</f>
        <v>517</v>
      </c>
      <c r="K152" s="42" t="str">
        <f>A168</f>
        <v>Vest-Wood 2</v>
      </c>
      <c r="L152" s="58">
        <f>SUM(L153:L155)</f>
        <v>463</v>
      </c>
      <c r="M152" s="45">
        <f>SUM(M153:M155)</f>
        <v>574</v>
      </c>
      <c r="N152" s="45">
        <f>M164</f>
        <v>580</v>
      </c>
      <c r="O152" s="42" t="str">
        <f>A164</f>
        <v>Raktoom</v>
      </c>
      <c r="P152" s="45">
        <f>SUM(P153:P155)</f>
        <v>408</v>
      </c>
      <c r="Q152" s="45">
        <f>SUM(Q153:Q155)</f>
        <v>519</v>
      </c>
      <c r="R152" s="45">
        <f>Q160</f>
        <v>513</v>
      </c>
      <c r="S152" s="42" t="str">
        <f>A160</f>
        <v>Näpi Saeveski 2</v>
      </c>
      <c r="T152" s="133">
        <f>SUM(T153:T155)</f>
        <v>436</v>
      </c>
      <c r="U152" s="45">
        <f>SUM(U153:U155)</f>
        <v>547</v>
      </c>
      <c r="V152" s="45">
        <f>U156</f>
        <v>500</v>
      </c>
      <c r="W152" s="42" t="str">
        <f>A156</f>
        <v>Toode</v>
      </c>
      <c r="X152" s="36">
        <f aca="true" t="shared" si="5" ref="X152:X175">E152+I152+M152+Q152+U152</f>
        <v>2753</v>
      </c>
      <c r="Y152" s="105">
        <f>SUM(Y153:Y155)</f>
        <v>2198</v>
      </c>
      <c r="Z152" s="37">
        <f>AVERAGE(Z153,Z154,Z155)</f>
        <v>183.5333333333333</v>
      </c>
      <c r="AA152" s="142">
        <f>AVERAGE(AA153,AA154,AA155)</f>
        <v>146.53333333333333</v>
      </c>
      <c r="AB152" s="219">
        <f>F153+J153+N153+R153+V153</f>
        <v>4</v>
      </c>
    </row>
    <row r="153" spans="1:28" s="38" customFormat="1" ht="15.75" customHeight="1">
      <c r="A153" s="222" t="s">
        <v>92</v>
      </c>
      <c r="B153" s="223"/>
      <c r="C153" s="150">
        <v>56</v>
      </c>
      <c r="D153" s="59">
        <v>112</v>
      </c>
      <c r="E153" s="50">
        <f>D153+C153</f>
        <v>168</v>
      </c>
      <c r="F153" s="224">
        <v>1</v>
      </c>
      <c r="G153" s="225"/>
      <c r="H153" s="97">
        <v>190</v>
      </c>
      <c r="I153" s="46">
        <f>H153+C153</f>
        <v>246</v>
      </c>
      <c r="J153" s="224">
        <v>1</v>
      </c>
      <c r="K153" s="225"/>
      <c r="L153" s="97">
        <v>164</v>
      </c>
      <c r="M153" s="50">
        <f>L153+C153</f>
        <v>220</v>
      </c>
      <c r="N153" s="224">
        <v>0</v>
      </c>
      <c r="O153" s="225"/>
      <c r="P153" s="97">
        <v>128</v>
      </c>
      <c r="Q153" s="50">
        <f>P153+C153</f>
        <v>184</v>
      </c>
      <c r="R153" s="224">
        <v>1</v>
      </c>
      <c r="S153" s="225"/>
      <c r="T153" s="97">
        <v>169</v>
      </c>
      <c r="U153" s="50">
        <f>T153+C153</f>
        <v>225</v>
      </c>
      <c r="V153" s="224">
        <v>1</v>
      </c>
      <c r="W153" s="225"/>
      <c r="X153" s="46">
        <f t="shared" si="5"/>
        <v>1043</v>
      </c>
      <c r="Y153" s="106">
        <f>D153+H153+L153+P153+T153</f>
        <v>763</v>
      </c>
      <c r="Z153" s="67">
        <f>AVERAGE(E153,I153,M153,Q153,U153)</f>
        <v>208.6</v>
      </c>
      <c r="AA153" s="143">
        <f>AVERAGE(E153,I153,M153,Q153,U153)-C153</f>
        <v>152.6</v>
      </c>
      <c r="AB153" s="220"/>
    </row>
    <row r="154" spans="1:28" s="38" customFormat="1" ht="15.75" customHeight="1">
      <c r="A154" s="222" t="s">
        <v>94</v>
      </c>
      <c r="B154" s="223"/>
      <c r="C154" s="150">
        <v>35</v>
      </c>
      <c r="D154" s="59">
        <v>147</v>
      </c>
      <c r="E154" s="50">
        <f>D154+C154</f>
        <v>182</v>
      </c>
      <c r="F154" s="226"/>
      <c r="G154" s="227"/>
      <c r="H154" s="98">
        <v>154</v>
      </c>
      <c r="I154" s="46">
        <f>H154+C154</f>
        <v>189</v>
      </c>
      <c r="J154" s="226"/>
      <c r="K154" s="227"/>
      <c r="L154" s="98">
        <v>162</v>
      </c>
      <c r="M154" s="50">
        <f>L154+C154</f>
        <v>197</v>
      </c>
      <c r="N154" s="226"/>
      <c r="O154" s="227"/>
      <c r="P154" s="98">
        <v>142</v>
      </c>
      <c r="Q154" s="50">
        <f>P154+C154</f>
        <v>177</v>
      </c>
      <c r="R154" s="226"/>
      <c r="S154" s="227"/>
      <c r="T154" s="98">
        <v>131</v>
      </c>
      <c r="U154" s="50">
        <f>T154+C154</f>
        <v>166</v>
      </c>
      <c r="V154" s="226"/>
      <c r="W154" s="227"/>
      <c r="X154" s="46">
        <f t="shared" si="5"/>
        <v>911</v>
      </c>
      <c r="Y154" s="106">
        <f>D154+H154+L154+P154+T154</f>
        <v>736</v>
      </c>
      <c r="Z154" s="67">
        <f>AVERAGE(E154,I154,M154,Q154,U154)</f>
        <v>182.2</v>
      </c>
      <c r="AA154" s="143">
        <f>AVERAGE(E154,I154,M154,Q154,U154)-C154</f>
        <v>147.2</v>
      </c>
      <c r="AB154" s="220"/>
    </row>
    <row r="155" spans="1:28" s="38" customFormat="1" ht="16.5" customHeight="1" thickBot="1">
      <c r="A155" s="229" t="s">
        <v>93</v>
      </c>
      <c r="B155" s="230"/>
      <c r="C155" s="151">
        <v>20</v>
      </c>
      <c r="D155" s="60">
        <v>131</v>
      </c>
      <c r="E155" s="50">
        <f>D155+C155</f>
        <v>151</v>
      </c>
      <c r="F155" s="204"/>
      <c r="G155" s="228"/>
      <c r="H155" s="99">
        <v>157</v>
      </c>
      <c r="I155" s="46">
        <f>H155+C155</f>
        <v>177</v>
      </c>
      <c r="J155" s="204"/>
      <c r="K155" s="228"/>
      <c r="L155" s="99">
        <v>137</v>
      </c>
      <c r="M155" s="50">
        <f>L155+C155</f>
        <v>157</v>
      </c>
      <c r="N155" s="204"/>
      <c r="O155" s="228"/>
      <c r="P155" s="99">
        <v>138</v>
      </c>
      <c r="Q155" s="50">
        <f>P155+C155</f>
        <v>158</v>
      </c>
      <c r="R155" s="204"/>
      <c r="S155" s="228"/>
      <c r="T155" s="99">
        <v>136</v>
      </c>
      <c r="U155" s="50">
        <f>T155+C155</f>
        <v>156</v>
      </c>
      <c r="V155" s="204"/>
      <c r="W155" s="228"/>
      <c r="X155" s="47">
        <f t="shared" si="5"/>
        <v>799</v>
      </c>
      <c r="Y155" s="107">
        <f>D155+H155+L155+P155+T155</f>
        <v>699</v>
      </c>
      <c r="Z155" s="68">
        <f>AVERAGE(E155,I155,M155,Q155,U155)</f>
        <v>159.8</v>
      </c>
      <c r="AA155" s="144">
        <f>AVERAGE(E155,I155,M155,Q155,U155)-C155</f>
        <v>139.8</v>
      </c>
      <c r="AB155" s="221"/>
    </row>
    <row r="156" spans="1:28" s="38" customFormat="1" ht="41.25" customHeight="1">
      <c r="A156" s="217" t="s">
        <v>195</v>
      </c>
      <c r="B156" s="218"/>
      <c r="C156" s="149">
        <f>SUM(C157:C159)</f>
        <v>131</v>
      </c>
      <c r="D156" s="62">
        <f>SUM(D157:D159)</f>
        <v>335</v>
      </c>
      <c r="E156" s="45">
        <f>SUM(E157:E159)</f>
        <v>466</v>
      </c>
      <c r="F156" s="45">
        <f>E168</f>
        <v>458</v>
      </c>
      <c r="G156" s="42" t="str">
        <f>A168</f>
        <v>Vest-Wood 2</v>
      </c>
      <c r="H156" s="62">
        <f>SUM(H157:H159)</f>
        <v>375</v>
      </c>
      <c r="I156" s="45">
        <f>SUM(I157:I159)</f>
        <v>506</v>
      </c>
      <c r="J156" s="45">
        <f>I164</f>
        <v>523</v>
      </c>
      <c r="K156" s="42" t="str">
        <f>A164</f>
        <v>Raktoom</v>
      </c>
      <c r="L156" s="133">
        <f>SUM(L157:L159)</f>
        <v>394</v>
      </c>
      <c r="M156" s="49">
        <f>SUM(M157:M159)</f>
        <v>525</v>
      </c>
      <c r="N156" s="45">
        <f>M160</f>
        <v>531</v>
      </c>
      <c r="O156" s="42" t="str">
        <f>A160</f>
        <v>Näpi Saeveski 2</v>
      </c>
      <c r="P156" s="45">
        <f>SUM(P157:P159)</f>
        <v>367</v>
      </c>
      <c r="Q156" s="49">
        <f>SUM(Q157:Q159)</f>
        <v>498</v>
      </c>
      <c r="R156" s="45">
        <f>Q172</f>
        <v>567</v>
      </c>
      <c r="S156" s="42" t="str">
        <f>A172</f>
        <v>RT EHITUS</v>
      </c>
      <c r="T156" s="133">
        <f>SUM(T157:T159)</f>
        <v>369</v>
      </c>
      <c r="U156" s="49">
        <f>SUM(U157:U159)</f>
        <v>500</v>
      </c>
      <c r="V156" s="45">
        <f>U152</f>
        <v>547</v>
      </c>
      <c r="W156" s="42" t="str">
        <f>A152</f>
        <v>KLG viru</v>
      </c>
      <c r="X156" s="36">
        <f t="shared" si="5"/>
        <v>2495</v>
      </c>
      <c r="Y156" s="105">
        <f>SUM(Y157:Y159)</f>
        <v>1840</v>
      </c>
      <c r="Z156" s="65">
        <f>AVERAGE(Z157,Z158,Z159)</f>
        <v>166.33333333333334</v>
      </c>
      <c r="AA156" s="142">
        <f>AVERAGE(AA157,AA158,AA159)</f>
        <v>122.66666666666667</v>
      </c>
      <c r="AB156" s="219">
        <f>F157+J157+N157+R157+V157</f>
        <v>1</v>
      </c>
    </row>
    <row r="157" spans="1:28" s="38" customFormat="1" ht="15.75" customHeight="1">
      <c r="A157" s="222" t="s">
        <v>179</v>
      </c>
      <c r="B157" s="223"/>
      <c r="C157" s="150">
        <v>40</v>
      </c>
      <c r="D157" s="59">
        <v>104</v>
      </c>
      <c r="E157" s="50">
        <f>D157+C157</f>
        <v>144</v>
      </c>
      <c r="F157" s="224">
        <v>1</v>
      </c>
      <c r="G157" s="225"/>
      <c r="H157" s="97">
        <v>157</v>
      </c>
      <c r="I157" s="46">
        <f>H157+C157</f>
        <v>197</v>
      </c>
      <c r="J157" s="224">
        <v>0</v>
      </c>
      <c r="K157" s="225"/>
      <c r="L157" s="97">
        <v>122</v>
      </c>
      <c r="M157" s="50">
        <f>L157+C157</f>
        <v>162</v>
      </c>
      <c r="N157" s="224">
        <v>0</v>
      </c>
      <c r="O157" s="225"/>
      <c r="P157" s="97">
        <v>136</v>
      </c>
      <c r="Q157" s="50">
        <f>P157+C157</f>
        <v>176</v>
      </c>
      <c r="R157" s="224">
        <v>0</v>
      </c>
      <c r="S157" s="225"/>
      <c r="T157" s="97">
        <v>125</v>
      </c>
      <c r="U157" s="50">
        <f>T157+C157</f>
        <v>165</v>
      </c>
      <c r="V157" s="224">
        <v>0</v>
      </c>
      <c r="W157" s="225"/>
      <c r="X157" s="46">
        <f t="shared" si="5"/>
        <v>844</v>
      </c>
      <c r="Y157" s="106">
        <f>D157+H157+L157+P157+T157</f>
        <v>644</v>
      </c>
      <c r="Z157" s="67">
        <f>AVERAGE(E157,I157,M157,Q157,U157)</f>
        <v>168.8</v>
      </c>
      <c r="AA157" s="143">
        <f>AVERAGE(E157,I157,M157,Q157,U157)-C157</f>
        <v>128.8</v>
      </c>
      <c r="AB157" s="220"/>
    </row>
    <row r="158" spans="1:28" s="38" customFormat="1" ht="15.75" customHeight="1">
      <c r="A158" s="222" t="s">
        <v>320</v>
      </c>
      <c r="B158" s="223"/>
      <c r="C158" s="150">
        <v>60</v>
      </c>
      <c r="D158" s="59">
        <v>125</v>
      </c>
      <c r="E158" s="50">
        <f>D158+C158</f>
        <v>185</v>
      </c>
      <c r="F158" s="226"/>
      <c r="G158" s="227"/>
      <c r="H158" s="98">
        <v>88</v>
      </c>
      <c r="I158" s="46">
        <f>H158+C158</f>
        <v>148</v>
      </c>
      <c r="J158" s="226"/>
      <c r="K158" s="227"/>
      <c r="L158" s="98">
        <v>119</v>
      </c>
      <c r="M158" s="50">
        <f>L158+C158</f>
        <v>179</v>
      </c>
      <c r="N158" s="226"/>
      <c r="O158" s="227"/>
      <c r="P158" s="98">
        <v>141</v>
      </c>
      <c r="Q158" s="50">
        <f>P158+C158</f>
        <v>201</v>
      </c>
      <c r="R158" s="226"/>
      <c r="S158" s="227"/>
      <c r="T158" s="98">
        <v>117</v>
      </c>
      <c r="U158" s="50">
        <f>T158+C158</f>
        <v>177</v>
      </c>
      <c r="V158" s="226"/>
      <c r="W158" s="227"/>
      <c r="X158" s="46">
        <f t="shared" si="5"/>
        <v>890</v>
      </c>
      <c r="Y158" s="106">
        <f>D158+H158+L158+P158+T158</f>
        <v>590</v>
      </c>
      <c r="Z158" s="67">
        <f>AVERAGE(E158,I158,M158,Q158,U158)</f>
        <v>178</v>
      </c>
      <c r="AA158" s="143">
        <f>AVERAGE(E158,I158,M158,Q158,U158)-C158</f>
        <v>118</v>
      </c>
      <c r="AB158" s="220"/>
    </row>
    <row r="159" spans="1:28" s="38" customFormat="1" ht="15.75" customHeight="1" thickBot="1">
      <c r="A159" s="229" t="s">
        <v>181</v>
      </c>
      <c r="B159" s="230"/>
      <c r="C159" s="151">
        <v>31</v>
      </c>
      <c r="D159" s="60">
        <v>106</v>
      </c>
      <c r="E159" s="50">
        <f>D159+C159</f>
        <v>137</v>
      </c>
      <c r="F159" s="204"/>
      <c r="G159" s="228"/>
      <c r="H159" s="99">
        <v>130</v>
      </c>
      <c r="I159" s="46">
        <f>H159+C159</f>
        <v>161</v>
      </c>
      <c r="J159" s="204"/>
      <c r="K159" s="228"/>
      <c r="L159" s="99">
        <v>153</v>
      </c>
      <c r="M159" s="50">
        <f>L159+C159</f>
        <v>184</v>
      </c>
      <c r="N159" s="204"/>
      <c r="O159" s="228"/>
      <c r="P159" s="99">
        <v>90</v>
      </c>
      <c r="Q159" s="50">
        <f>P159+C159</f>
        <v>121</v>
      </c>
      <c r="R159" s="204"/>
      <c r="S159" s="228"/>
      <c r="T159" s="99">
        <v>127</v>
      </c>
      <c r="U159" s="50">
        <f>T159+C159</f>
        <v>158</v>
      </c>
      <c r="V159" s="204"/>
      <c r="W159" s="228"/>
      <c r="X159" s="47">
        <f t="shared" si="5"/>
        <v>761</v>
      </c>
      <c r="Y159" s="107">
        <f>D159+H159+L159+P159+T159</f>
        <v>606</v>
      </c>
      <c r="Z159" s="68">
        <f>AVERAGE(E159,I159,M159,Q159,U159)</f>
        <v>152.2</v>
      </c>
      <c r="AA159" s="144">
        <f>AVERAGE(E159,I159,M159,Q159,U159)-C159</f>
        <v>121.19999999999999</v>
      </c>
      <c r="AB159" s="221"/>
    </row>
    <row r="160" spans="1:28" s="38" customFormat="1" ht="47.25" customHeight="1">
      <c r="A160" s="217" t="s">
        <v>241</v>
      </c>
      <c r="B160" s="218"/>
      <c r="C160" s="149">
        <f>SUM(C161:C163)</f>
        <v>149</v>
      </c>
      <c r="D160" s="62">
        <f>SUM(D161:D163)</f>
        <v>342</v>
      </c>
      <c r="E160" s="45">
        <f>SUM(E161:E163)</f>
        <v>491</v>
      </c>
      <c r="F160" s="45">
        <f>E164</f>
        <v>482</v>
      </c>
      <c r="G160" s="42" t="str">
        <f>A164</f>
        <v>Raktoom</v>
      </c>
      <c r="H160" s="62">
        <f>SUM(H161:H163)</f>
        <v>365</v>
      </c>
      <c r="I160" s="45">
        <f>SUM(I161:I163)</f>
        <v>514</v>
      </c>
      <c r="J160" s="45">
        <f>I172</f>
        <v>524</v>
      </c>
      <c r="K160" s="42" t="str">
        <f>A172</f>
        <v>RT EHITUS</v>
      </c>
      <c r="L160" s="133">
        <f>SUM(L161:L163)</f>
        <v>382</v>
      </c>
      <c r="M160" s="69">
        <f>SUM(M161:M163)</f>
        <v>531</v>
      </c>
      <c r="N160" s="45">
        <f>M156</f>
        <v>525</v>
      </c>
      <c r="O160" s="42" t="str">
        <f>A156</f>
        <v>Toode</v>
      </c>
      <c r="P160" s="45">
        <f>SUM(P161:P163)</f>
        <v>364</v>
      </c>
      <c r="Q160" s="49">
        <f>SUM(Q161:Q163)</f>
        <v>513</v>
      </c>
      <c r="R160" s="45">
        <f>Q152</f>
        <v>519</v>
      </c>
      <c r="S160" s="42" t="str">
        <f>A152</f>
        <v>KLG viru</v>
      </c>
      <c r="T160" s="133">
        <f>SUM(T161:T163)</f>
        <v>363</v>
      </c>
      <c r="U160" s="69">
        <f>SUM(U161:U163)</f>
        <v>512</v>
      </c>
      <c r="V160" s="45">
        <f>U168</f>
        <v>494</v>
      </c>
      <c r="W160" s="42" t="str">
        <f>A168</f>
        <v>Vest-Wood 2</v>
      </c>
      <c r="X160" s="36">
        <f t="shared" si="5"/>
        <v>2561</v>
      </c>
      <c r="Y160" s="105">
        <f>SUM(Y161:Y163)</f>
        <v>1816</v>
      </c>
      <c r="Z160" s="65">
        <f>AVERAGE(Z161,Z162,Z163)</f>
        <v>170.73333333333332</v>
      </c>
      <c r="AA160" s="142">
        <f>AVERAGE(AA161,AA162,AA163)</f>
        <v>121.06666666666666</v>
      </c>
      <c r="AB160" s="219">
        <f>F161+J161+N161+R161+V161</f>
        <v>3</v>
      </c>
    </row>
    <row r="161" spans="1:28" s="38" customFormat="1" ht="15.75" customHeight="1">
      <c r="A161" s="222" t="s">
        <v>242</v>
      </c>
      <c r="B161" s="223"/>
      <c r="C161" s="150">
        <v>60</v>
      </c>
      <c r="D161" s="59">
        <v>102</v>
      </c>
      <c r="E161" s="50">
        <f>D161+C161</f>
        <v>162</v>
      </c>
      <c r="F161" s="224">
        <v>1</v>
      </c>
      <c r="G161" s="225"/>
      <c r="H161" s="97">
        <v>132</v>
      </c>
      <c r="I161" s="46">
        <f>H161+C161</f>
        <v>192</v>
      </c>
      <c r="J161" s="224">
        <v>0</v>
      </c>
      <c r="K161" s="225"/>
      <c r="L161" s="97">
        <v>116</v>
      </c>
      <c r="M161" s="50">
        <f>L161+C161</f>
        <v>176</v>
      </c>
      <c r="N161" s="224">
        <v>1</v>
      </c>
      <c r="O161" s="225"/>
      <c r="P161" s="97">
        <v>122</v>
      </c>
      <c r="Q161" s="50">
        <f>P161+C161</f>
        <v>182</v>
      </c>
      <c r="R161" s="224">
        <v>0</v>
      </c>
      <c r="S161" s="225"/>
      <c r="T161" s="97">
        <v>89</v>
      </c>
      <c r="U161" s="50">
        <f>T161+C161</f>
        <v>149</v>
      </c>
      <c r="V161" s="224">
        <v>1</v>
      </c>
      <c r="W161" s="225"/>
      <c r="X161" s="46">
        <f t="shared" si="5"/>
        <v>861</v>
      </c>
      <c r="Y161" s="106">
        <f>D161+H161+L161+P161+T161</f>
        <v>561</v>
      </c>
      <c r="Z161" s="67">
        <f>AVERAGE(E161,I161,M161,Q161,U161)</f>
        <v>172.2</v>
      </c>
      <c r="AA161" s="143">
        <f>AVERAGE(E161,I161,M161,Q161,U161)-C161</f>
        <v>112.19999999999999</v>
      </c>
      <c r="AB161" s="220"/>
    </row>
    <row r="162" spans="1:28" s="38" customFormat="1" ht="15.75" customHeight="1">
      <c r="A162" s="222" t="s">
        <v>268</v>
      </c>
      <c r="B162" s="223"/>
      <c r="C162" s="150">
        <v>39</v>
      </c>
      <c r="D162" s="59">
        <v>111</v>
      </c>
      <c r="E162" s="50">
        <f>D162+C162</f>
        <v>150</v>
      </c>
      <c r="F162" s="226"/>
      <c r="G162" s="227"/>
      <c r="H162" s="98">
        <v>124</v>
      </c>
      <c r="I162" s="46">
        <f>H162+C162</f>
        <v>163</v>
      </c>
      <c r="J162" s="226"/>
      <c r="K162" s="227"/>
      <c r="L162" s="98">
        <v>125</v>
      </c>
      <c r="M162" s="50">
        <f>L162+C162</f>
        <v>164</v>
      </c>
      <c r="N162" s="226"/>
      <c r="O162" s="227"/>
      <c r="P162" s="98">
        <v>113</v>
      </c>
      <c r="Q162" s="50">
        <f>P162+C162</f>
        <v>152</v>
      </c>
      <c r="R162" s="226"/>
      <c r="S162" s="227"/>
      <c r="T162" s="98">
        <v>140</v>
      </c>
      <c r="U162" s="50">
        <f>T162+C162</f>
        <v>179</v>
      </c>
      <c r="V162" s="226"/>
      <c r="W162" s="227"/>
      <c r="X162" s="46">
        <f t="shared" si="5"/>
        <v>808</v>
      </c>
      <c r="Y162" s="106">
        <f>D162+H162+L162+P162+T162</f>
        <v>613</v>
      </c>
      <c r="Z162" s="67">
        <f>AVERAGE(E162,I162,M162,Q162,U162)</f>
        <v>161.6</v>
      </c>
      <c r="AA162" s="143">
        <f>AVERAGE(E162,I162,M162,Q162,U162)-C162</f>
        <v>122.6</v>
      </c>
      <c r="AB162" s="220"/>
    </row>
    <row r="163" spans="1:28" s="38" customFormat="1" ht="15.75" customHeight="1" thickBot="1">
      <c r="A163" s="229" t="s">
        <v>267</v>
      </c>
      <c r="B163" s="230"/>
      <c r="C163" s="151">
        <v>50</v>
      </c>
      <c r="D163" s="60">
        <v>129</v>
      </c>
      <c r="E163" s="50">
        <f>D163+C163</f>
        <v>179</v>
      </c>
      <c r="F163" s="204"/>
      <c r="G163" s="228"/>
      <c r="H163" s="99">
        <v>109</v>
      </c>
      <c r="I163" s="46">
        <f>H163+C163</f>
        <v>159</v>
      </c>
      <c r="J163" s="204"/>
      <c r="K163" s="228"/>
      <c r="L163" s="99">
        <v>141</v>
      </c>
      <c r="M163" s="50">
        <f>L163+C163</f>
        <v>191</v>
      </c>
      <c r="N163" s="204"/>
      <c r="O163" s="228"/>
      <c r="P163" s="99">
        <v>129</v>
      </c>
      <c r="Q163" s="50">
        <f>P163+C163</f>
        <v>179</v>
      </c>
      <c r="R163" s="204"/>
      <c r="S163" s="228"/>
      <c r="T163" s="99">
        <v>134</v>
      </c>
      <c r="U163" s="50">
        <f>T163+C163</f>
        <v>184</v>
      </c>
      <c r="V163" s="204"/>
      <c r="W163" s="228"/>
      <c r="X163" s="47">
        <f t="shared" si="5"/>
        <v>892</v>
      </c>
      <c r="Y163" s="107">
        <f>D163+H163+L163+P163+T163</f>
        <v>642</v>
      </c>
      <c r="Z163" s="68">
        <f>AVERAGE(E163,I163,M163,Q163,U163)</f>
        <v>178.4</v>
      </c>
      <c r="AA163" s="144">
        <f>AVERAGE(E163,I163,M163,Q163,U163)-C163</f>
        <v>128.4</v>
      </c>
      <c r="AB163" s="221"/>
    </row>
    <row r="164" spans="1:28" s="38" customFormat="1" ht="39" customHeight="1">
      <c r="A164" s="217" t="s">
        <v>128</v>
      </c>
      <c r="B164" s="218"/>
      <c r="C164" s="149">
        <f>SUM(C165:C167)</f>
        <v>155</v>
      </c>
      <c r="D164" s="62">
        <f>SUM(D165:D167)</f>
        <v>327</v>
      </c>
      <c r="E164" s="45">
        <f>SUM(E165:E167)</f>
        <v>482</v>
      </c>
      <c r="F164" s="45">
        <f>E160</f>
        <v>491</v>
      </c>
      <c r="G164" s="42" t="str">
        <f>A160</f>
        <v>Näpi Saeveski 2</v>
      </c>
      <c r="H164" s="62">
        <f>SUM(H165:H167)</f>
        <v>368</v>
      </c>
      <c r="I164" s="45">
        <f>SUM(I165:I167)</f>
        <v>523</v>
      </c>
      <c r="J164" s="45">
        <f>I156</f>
        <v>506</v>
      </c>
      <c r="K164" s="42" t="str">
        <f>A156</f>
        <v>Toode</v>
      </c>
      <c r="L164" s="133">
        <f>SUM(L165:L167)</f>
        <v>425</v>
      </c>
      <c r="M164" s="49">
        <f>SUM(M165:M167)</f>
        <v>580</v>
      </c>
      <c r="N164" s="45">
        <f>M152</f>
        <v>574</v>
      </c>
      <c r="O164" s="42" t="str">
        <f>A152</f>
        <v>KLG viru</v>
      </c>
      <c r="P164" s="45">
        <f>SUM(P165:P167)</f>
        <v>380</v>
      </c>
      <c r="Q164" s="49">
        <f>SUM(Q165:Q167)</f>
        <v>535</v>
      </c>
      <c r="R164" s="45">
        <f>Q168</f>
        <v>530</v>
      </c>
      <c r="S164" s="42" t="str">
        <f>A168</f>
        <v>Vest-Wood 2</v>
      </c>
      <c r="T164" s="133">
        <f>SUM(T165:T167)</f>
        <v>314</v>
      </c>
      <c r="U164" s="49">
        <f>SUM(U165:U167)</f>
        <v>469</v>
      </c>
      <c r="V164" s="45">
        <f>U172</f>
        <v>520</v>
      </c>
      <c r="W164" s="42" t="str">
        <f>A172</f>
        <v>RT EHITUS</v>
      </c>
      <c r="X164" s="36">
        <f t="shared" si="5"/>
        <v>2589</v>
      </c>
      <c r="Y164" s="105">
        <f>SUM(Y165:Y167)</f>
        <v>1814</v>
      </c>
      <c r="Z164" s="65">
        <f>AVERAGE(Z165,Z166,Z167)</f>
        <v>172.60000000000002</v>
      </c>
      <c r="AA164" s="142">
        <f>AVERAGE(AA165,AA166,AA167)</f>
        <v>120.93333333333334</v>
      </c>
      <c r="AB164" s="219">
        <f>F165+J165+N165+R165+V165</f>
        <v>3</v>
      </c>
    </row>
    <row r="165" spans="1:28" s="38" customFormat="1" ht="15.75" customHeight="1">
      <c r="A165" s="222" t="s">
        <v>283</v>
      </c>
      <c r="B165" s="223"/>
      <c r="C165" s="150">
        <v>50</v>
      </c>
      <c r="D165" s="59">
        <v>106</v>
      </c>
      <c r="E165" s="50">
        <f>D165+C165</f>
        <v>156</v>
      </c>
      <c r="F165" s="224">
        <v>0</v>
      </c>
      <c r="G165" s="225"/>
      <c r="H165" s="97">
        <v>115</v>
      </c>
      <c r="I165" s="46">
        <f>H165+C165</f>
        <v>165</v>
      </c>
      <c r="J165" s="224">
        <v>1</v>
      </c>
      <c r="K165" s="225"/>
      <c r="L165" s="97">
        <v>144</v>
      </c>
      <c r="M165" s="50">
        <f>L165+C165</f>
        <v>194</v>
      </c>
      <c r="N165" s="224">
        <v>1</v>
      </c>
      <c r="O165" s="225"/>
      <c r="P165" s="97">
        <v>139</v>
      </c>
      <c r="Q165" s="50">
        <f>P165+C165</f>
        <v>189</v>
      </c>
      <c r="R165" s="224">
        <v>1</v>
      </c>
      <c r="S165" s="225"/>
      <c r="T165" s="97">
        <v>105</v>
      </c>
      <c r="U165" s="50">
        <f>T165+C165</f>
        <v>155</v>
      </c>
      <c r="V165" s="224">
        <v>0</v>
      </c>
      <c r="W165" s="225"/>
      <c r="X165" s="46">
        <f t="shared" si="5"/>
        <v>859</v>
      </c>
      <c r="Y165" s="106">
        <f>D165+H165+L165+P165+T165</f>
        <v>609</v>
      </c>
      <c r="Z165" s="67">
        <f>AVERAGE(E165,I165,M165,Q165,U165)</f>
        <v>171.8</v>
      </c>
      <c r="AA165" s="143">
        <f>AVERAGE(E165,I165,M165,Q165,U165)-C165</f>
        <v>121.80000000000001</v>
      </c>
      <c r="AB165" s="220"/>
    </row>
    <row r="166" spans="1:28" s="38" customFormat="1" ht="15.75" customHeight="1">
      <c r="A166" s="222" t="s">
        <v>284</v>
      </c>
      <c r="B166" s="223"/>
      <c r="C166" s="150">
        <v>54</v>
      </c>
      <c r="D166" s="59">
        <v>130</v>
      </c>
      <c r="E166" s="50">
        <f>D166+C166</f>
        <v>184</v>
      </c>
      <c r="F166" s="226"/>
      <c r="G166" s="227"/>
      <c r="H166" s="98">
        <v>127</v>
      </c>
      <c r="I166" s="46">
        <f>H166+C166</f>
        <v>181</v>
      </c>
      <c r="J166" s="226"/>
      <c r="K166" s="227"/>
      <c r="L166" s="98">
        <v>155</v>
      </c>
      <c r="M166" s="50">
        <f>L166+C166</f>
        <v>209</v>
      </c>
      <c r="N166" s="226"/>
      <c r="O166" s="227"/>
      <c r="P166" s="98">
        <v>105</v>
      </c>
      <c r="Q166" s="50">
        <f>P166+C166</f>
        <v>159</v>
      </c>
      <c r="R166" s="226"/>
      <c r="S166" s="227"/>
      <c r="T166" s="98">
        <v>135</v>
      </c>
      <c r="U166" s="50">
        <f>T166+C166</f>
        <v>189</v>
      </c>
      <c r="V166" s="226"/>
      <c r="W166" s="227"/>
      <c r="X166" s="46">
        <f t="shared" si="5"/>
        <v>922</v>
      </c>
      <c r="Y166" s="106">
        <f>D166+H166+L166+P166+T166</f>
        <v>652</v>
      </c>
      <c r="Z166" s="67">
        <f>AVERAGE(E166,I166,M166,Q166,U166)</f>
        <v>184.4</v>
      </c>
      <c r="AA166" s="143">
        <f>AVERAGE(E166,I166,M166,Q166,U166)-C166</f>
        <v>130.4</v>
      </c>
      <c r="AB166" s="220"/>
    </row>
    <row r="167" spans="1:29" s="38" customFormat="1" ht="15.75" customHeight="1" thickBot="1">
      <c r="A167" s="229" t="s">
        <v>118</v>
      </c>
      <c r="B167" s="230"/>
      <c r="C167" s="151">
        <v>51</v>
      </c>
      <c r="D167" s="60">
        <v>91</v>
      </c>
      <c r="E167" s="50">
        <f>D167+C167</f>
        <v>142</v>
      </c>
      <c r="F167" s="204"/>
      <c r="G167" s="228"/>
      <c r="H167" s="99">
        <v>126</v>
      </c>
      <c r="I167" s="46">
        <f>H167+C167</f>
        <v>177</v>
      </c>
      <c r="J167" s="204"/>
      <c r="K167" s="228"/>
      <c r="L167" s="99">
        <v>126</v>
      </c>
      <c r="M167" s="50">
        <f>L167+C167</f>
        <v>177</v>
      </c>
      <c r="N167" s="204"/>
      <c r="O167" s="228"/>
      <c r="P167" s="99">
        <v>136</v>
      </c>
      <c r="Q167" s="50">
        <f>P167+C167</f>
        <v>187</v>
      </c>
      <c r="R167" s="204"/>
      <c r="S167" s="228"/>
      <c r="T167" s="99">
        <v>74</v>
      </c>
      <c r="U167" s="50">
        <f>T167+C167</f>
        <v>125</v>
      </c>
      <c r="V167" s="204"/>
      <c r="W167" s="228"/>
      <c r="X167" s="47">
        <f t="shared" si="5"/>
        <v>808</v>
      </c>
      <c r="Y167" s="107">
        <f>D167+H167+L167+P167+T167</f>
        <v>553</v>
      </c>
      <c r="Z167" s="68">
        <f>AVERAGE(E167,I167,M167,Q167,U167)</f>
        <v>161.6</v>
      </c>
      <c r="AA167" s="144">
        <f>AVERAGE(E167,I167,M167,Q167,U167)-C167</f>
        <v>110.6</v>
      </c>
      <c r="AB167" s="221"/>
      <c r="AC167" s="44"/>
    </row>
    <row r="168" spans="1:28" s="38" customFormat="1" ht="53.25" customHeight="1">
      <c r="A168" s="217" t="s">
        <v>67</v>
      </c>
      <c r="B168" s="218"/>
      <c r="C168" s="149">
        <f>SUM(C169:C171)</f>
        <v>100</v>
      </c>
      <c r="D168" s="62">
        <f>SUM(D169:D171)</f>
        <v>358</v>
      </c>
      <c r="E168" s="45">
        <f>SUM(E169:E171)</f>
        <v>458</v>
      </c>
      <c r="F168" s="45">
        <f>E156</f>
        <v>466</v>
      </c>
      <c r="G168" s="42" t="str">
        <f>A156</f>
        <v>Toode</v>
      </c>
      <c r="H168" s="62">
        <f>SUM(H169:H171)</f>
        <v>417</v>
      </c>
      <c r="I168" s="45">
        <f>SUM(I169:I171)</f>
        <v>517</v>
      </c>
      <c r="J168" s="45">
        <f>I152</f>
        <v>612</v>
      </c>
      <c r="K168" s="42" t="str">
        <f>A152</f>
        <v>KLG viru</v>
      </c>
      <c r="L168" s="133">
        <f>SUM(L169:L171)</f>
        <v>460</v>
      </c>
      <c r="M168" s="69">
        <f>SUM(M169:M171)</f>
        <v>560</v>
      </c>
      <c r="N168" s="45">
        <f>M172</f>
        <v>491</v>
      </c>
      <c r="O168" s="42" t="str">
        <f>A172</f>
        <v>RT EHITUS</v>
      </c>
      <c r="P168" s="45">
        <f>SUM(P169:P171)</f>
        <v>430</v>
      </c>
      <c r="Q168" s="69">
        <f>SUM(Q169:Q171)</f>
        <v>530</v>
      </c>
      <c r="R168" s="45">
        <f>Q164</f>
        <v>535</v>
      </c>
      <c r="S168" s="42" t="str">
        <f>A164</f>
        <v>Raktoom</v>
      </c>
      <c r="T168" s="133">
        <f>SUM(T169:T171)</f>
        <v>394</v>
      </c>
      <c r="U168" s="69">
        <f>SUM(U169:U171)</f>
        <v>494</v>
      </c>
      <c r="V168" s="45">
        <f>U160</f>
        <v>512</v>
      </c>
      <c r="W168" s="42" t="str">
        <f>A160</f>
        <v>Näpi Saeveski 2</v>
      </c>
      <c r="X168" s="36">
        <f t="shared" si="5"/>
        <v>2559</v>
      </c>
      <c r="Y168" s="105">
        <f>SUM(Y169:Y171)</f>
        <v>2059</v>
      </c>
      <c r="Z168" s="65">
        <f>AVERAGE(Z169,Z170,Z171)</f>
        <v>170.60000000000002</v>
      </c>
      <c r="AA168" s="142">
        <f>AVERAGE(AA169,AA170,AA171)</f>
        <v>137.26666666666668</v>
      </c>
      <c r="AB168" s="219">
        <f>F169+J169+N169+R169+V169</f>
        <v>1</v>
      </c>
    </row>
    <row r="169" spans="1:28" s="38" customFormat="1" ht="15.75" customHeight="1">
      <c r="A169" s="222" t="s">
        <v>44</v>
      </c>
      <c r="B169" s="223"/>
      <c r="C169" s="150">
        <v>50</v>
      </c>
      <c r="D169" s="59">
        <v>127</v>
      </c>
      <c r="E169" s="50">
        <f>D169+C169</f>
        <v>177</v>
      </c>
      <c r="F169" s="224">
        <v>0</v>
      </c>
      <c r="G169" s="225"/>
      <c r="H169" s="97">
        <v>121</v>
      </c>
      <c r="I169" s="46">
        <f>H169+C169</f>
        <v>171</v>
      </c>
      <c r="J169" s="224">
        <v>0</v>
      </c>
      <c r="K169" s="225"/>
      <c r="L169" s="97">
        <v>154</v>
      </c>
      <c r="M169" s="50">
        <f>L169+C169</f>
        <v>204</v>
      </c>
      <c r="N169" s="224">
        <v>1</v>
      </c>
      <c r="O169" s="225"/>
      <c r="P169" s="97">
        <v>142</v>
      </c>
      <c r="Q169" s="50">
        <f>P169+C169</f>
        <v>192</v>
      </c>
      <c r="R169" s="224">
        <v>0</v>
      </c>
      <c r="S169" s="225"/>
      <c r="T169" s="97">
        <v>148</v>
      </c>
      <c r="U169" s="50">
        <f>T169+C169</f>
        <v>198</v>
      </c>
      <c r="V169" s="224">
        <v>0</v>
      </c>
      <c r="W169" s="225"/>
      <c r="X169" s="46">
        <f t="shared" si="5"/>
        <v>942</v>
      </c>
      <c r="Y169" s="106">
        <f>D169+H169+L169+P169+T169</f>
        <v>692</v>
      </c>
      <c r="Z169" s="67">
        <f>AVERAGE(E169,I169,M169,Q169,U169)</f>
        <v>188.4</v>
      </c>
      <c r="AA169" s="143">
        <f>AVERAGE(E169,I169,M169,Q169,U169)-C169</f>
        <v>138.4</v>
      </c>
      <c r="AB169" s="220"/>
    </row>
    <row r="170" spans="1:28" s="38" customFormat="1" ht="15.75" customHeight="1">
      <c r="A170" s="222" t="s">
        <v>262</v>
      </c>
      <c r="B170" s="223"/>
      <c r="C170" s="150">
        <v>22</v>
      </c>
      <c r="D170" s="59">
        <v>108</v>
      </c>
      <c r="E170" s="50">
        <f>D170+C170</f>
        <v>130</v>
      </c>
      <c r="F170" s="226"/>
      <c r="G170" s="227"/>
      <c r="H170" s="98">
        <v>128</v>
      </c>
      <c r="I170" s="46">
        <f>H170+C170</f>
        <v>150</v>
      </c>
      <c r="J170" s="226"/>
      <c r="K170" s="227"/>
      <c r="L170" s="98">
        <v>165</v>
      </c>
      <c r="M170" s="50">
        <f>L170+C170</f>
        <v>187</v>
      </c>
      <c r="N170" s="226"/>
      <c r="O170" s="227"/>
      <c r="P170" s="98">
        <v>123</v>
      </c>
      <c r="Q170" s="50">
        <f>P170+C170</f>
        <v>145</v>
      </c>
      <c r="R170" s="226"/>
      <c r="S170" s="227"/>
      <c r="T170" s="98">
        <v>125</v>
      </c>
      <c r="U170" s="50">
        <f>T170+C170</f>
        <v>147</v>
      </c>
      <c r="V170" s="226"/>
      <c r="W170" s="227"/>
      <c r="X170" s="46">
        <f t="shared" si="5"/>
        <v>759</v>
      </c>
      <c r="Y170" s="106">
        <f>D170+H170+L170+P170+T170</f>
        <v>649</v>
      </c>
      <c r="Z170" s="67">
        <f>AVERAGE(E170,I170,M170,Q170,U170)</f>
        <v>151.8</v>
      </c>
      <c r="AA170" s="143">
        <f>AVERAGE(E170,I170,M170,Q170,U170)-C170</f>
        <v>129.8</v>
      </c>
      <c r="AB170" s="220"/>
    </row>
    <row r="171" spans="1:28" s="38" customFormat="1" ht="15.75" customHeight="1" thickBot="1">
      <c r="A171" s="229" t="s">
        <v>46</v>
      </c>
      <c r="B171" s="230"/>
      <c r="C171" s="151">
        <v>28</v>
      </c>
      <c r="D171" s="60">
        <v>123</v>
      </c>
      <c r="E171" s="50">
        <f>D171+C171</f>
        <v>151</v>
      </c>
      <c r="F171" s="204"/>
      <c r="G171" s="228"/>
      <c r="H171" s="99">
        <v>168</v>
      </c>
      <c r="I171" s="46">
        <f>H171+C171</f>
        <v>196</v>
      </c>
      <c r="J171" s="204"/>
      <c r="K171" s="228"/>
      <c r="L171" s="99">
        <v>141</v>
      </c>
      <c r="M171" s="50">
        <f>L171+C171</f>
        <v>169</v>
      </c>
      <c r="N171" s="204"/>
      <c r="O171" s="228"/>
      <c r="P171" s="99">
        <v>165</v>
      </c>
      <c r="Q171" s="50">
        <f>P171+C171</f>
        <v>193</v>
      </c>
      <c r="R171" s="204"/>
      <c r="S171" s="228"/>
      <c r="T171" s="99">
        <v>121</v>
      </c>
      <c r="U171" s="50">
        <f>T171+C171</f>
        <v>149</v>
      </c>
      <c r="V171" s="204"/>
      <c r="W171" s="228"/>
      <c r="X171" s="47">
        <f t="shared" si="5"/>
        <v>858</v>
      </c>
      <c r="Y171" s="107">
        <f>D171+H171+L171+P171+T171</f>
        <v>718</v>
      </c>
      <c r="Z171" s="68">
        <f>AVERAGE(E171,I171,M171,Q171,U171)</f>
        <v>171.6</v>
      </c>
      <c r="AA171" s="144">
        <f>AVERAGE(E171,I171,M171,Q171,U171)-C171</f>
        <v>143.6</v>
      </c>
      <c r="AB171" s="221"/>
    </row>
    <row r="172" spans="1:28" s="38" customFormat="1" ht="42" customHeight="1">
      <c r="A172" s="217" t="s">
        <v>229</v>
      </c>
      <c r="B172" s="218"/>
      <c r="C172" s="149">
        <f>SUM(C173:C175)</f>
        <v>173</v>
      </c>
      <c r="D172" s="62">
        <f>SUM(D173:D175)</f>
        <v>319</v>
      </c>
      <c r="E172" s="45">
        <f>SUM(E173:E175)</f>
        <v>492</v>
      </c>
      <c r="F172" s="45">
        <f>E152</f>
        <v>501</v>
      </c>
      <c r="G172" s="42" t="str">
        <f>A152</f>
        <v>KLG viru</v>
      </c>
      <c r="H172" s="62">
        <f>SUM(H173:H175)</f>
        <v>351</v>
      </c>
      <c r="I172" s="45">
        <f>SUM(I173:I175)</f>
        <v>524</v>
      </c>
      <c r="J172" s="45">
        <f>I160</f>
        <v>514</v>
      </c>
      <c r="K172" s="42" t="str">
        <f>A160</f>
        <v>Näpi Saeveski 2</v>
      </c>
      <c r="L172" s="133">
        <f>SUM(L173:L175)</f>
        <v>318</v>
      </c>
      <c r="M172" s="49">
        <f>SUM(M173:M175)</f>
        <v>491</v>
      </c>
      <c r="N172" s="45">
        <f>M168</f>
        <v>560</v>
      </c>
      <c r="O172" s="42" t="str">
        <f>A168</f>
        <v>Vest-Wood 2</v>
      </c>
      <c r="P172" s="45">
        <f>SUM(P173:P175)</f>
        <v>394</v>
      </c>
      <c r="Q172" s="49">
        <f>SUM(Q173:Q175)</f>
        <v>567</v>
      </c>
      <c r="R172" s="45">
        <f>Q156</f>
        <v>498</v>
      </c>
      <c r="S172" s="42" t="str">
        <f>A156</f>
        <v>Toode</v>
      </c>
      <c r="T172" s="133">
        <f>SUM(T173:T175)</f>
        <v>347</v>
      </c>
      <c r="U172" s="49">
        <f>SUM(U173:U175)</f>
        <v>520</v>
      </c>
      <c r="V172" s="45">
        <f>U164</f>
        <v>469</v>
      </c>
      <c r="W172" s="42" t="str">
        <f>A164</f>
        <v>Raktoom</v>
      </c>
      <c r="X172" s="36">
        <f t="shared" si="5"/>
        <v>2594</v>
      </c>
      <c r="Y172" s="105">
        <f>SUM(Y173:Y175)</f>
        <v>1729</v>
      </c>
      <c r="Z172" s="65">
        <f>AVERAGE(Z173,Z174,Z175)</f>
        <v>172.9333333333333</v>
      </c>
      <c r="AA172" s="142">
        <f>AVERAGE(AA173,AA174,AA175)</f>
        <v>115.26666666666665</v>
      </c>
      <c r="AB172" s="219">
        <f>F173+J173+N173+R173+V173</f>
        <v>3</v>
      </c>
    </row>
    <row r="173" spans="1:28" s="38" customFormat="1" ht="15.75" customHeight="1">
      <c r="A173" s="222" t="s">
        <v>232</v>
      </c>
      <c r="B173" s="223"/>
      <c r="C173" s="150">
        <v>55</v>
      </c>
      <c r="D173" s="59">
        <v>125</v>
      </c>
      <c r="E173" s="50">
        <f>D173+C173</f>
        <v>180</v>
      </c>
      <c r="F173" s="224">
        <v>0</v>
      </c>
      <c r="G173" s="225"/>
      <c r="H173" s="97">
        <v>127</v>
      </c>
      <c r="I173" s="46">
        <f>H173+C173</f>
        <v>182</v>
      </c>
      <c r="J173" s="224">
        <v>1</v>
      </c>
      <c r="K173" s="225"/>
      <c r="L173" s="97">
        <v>88</v>
      </c>
      <c r="M173" s="50">
        <f>L173+C173</f>
        <v>143</v>
      </c>
      <c r="N173" s="224">
        <v>0</v>
      </c>
      <c r="O173" s="225"/>
      <c r="P173" s="97">
        <v>91</v>
      </c>
      <c r="Q173" s="50">
        <f>P173+C173</f>
        <v>146</v>
      </c>
      <c r="R173" s="224">
        <v>1</v>
      </c>
      <c r="S173" s="225"/>
      <c r="T173" s="97">
        <v>110</v>
      </c>
      <c r="U173" s="50">
        <f>T173+C173</f>
        <v>165</v>
      </c>
      <c r="V173" s="224">
        <v>1</v>
      </c>
      <c r="W173" s="225"/>
      <c r="X173" s="46">
        <f t="shared" si="5"/>
        <v>816</v>
      </c>
      <c r="Y173" s="106">
        <f>D173+H173+L173+P173+T173</f>
        <v>541</v>
      </c>
      <c r="Z173" s="67">
        <f>AVERAGE(E173,I173,M173,Q173,U173)</f>
        <v>163.2</v>
      </c>
      <c r="AA173" s="143">
        <f>AVERAGE(E173,I173,M173,Q173,U173)-C173</f>
        <v>108.19999999999999</v>
      </c>
      <c r="AB173" s="220"/>
    </row>
    <row r="174" spans="1:28" s="38" customFormat="1" ht="15" customHeight="1">
      <c r="A174" s="222" t="s">
        <v>230</v>
      </c>
      <c r="B174" s="223"/>
      <c r="C174" s="150">
        <v>60</v>
      </c>
      <c r="D174" s="59">
        <v>72</v>
      </c>
      <c r="E174" s="50">
        <f>D174+C174</f>
        <v>132</v>
      </c>
      <c r="F174" s="226"/>
      <c r="G174" s="227"/>
      <c r="H174" s="98">
        <v>122</v>
      </c>
      <c r="I174" s="46">
        <f>H174+C174</f>
        <v>182</v>
      </c>
      <c r="J174" s="226"/>
      <c r="K174" s="227"/>
      <c r="L174" s="98">
        <v>103</v>
      </c>
      <c r="M174" s="50">
        <f>L174+C174</f>
        <v>163</v>
      </c>
      <c r="N174" s="226"/>
      <c r="O174" s="227"/>
      <c r="P174" s="98">
        <v>152</v>
      </c>
      <c r="Q174" s="50">
        <f>P174+C174</f>
        <v>212</v>
      </c>
      <c r="R174" s="226"/>
      <c r="S174" s="227"/>
      <c r="T174" s="98">
        <v>124</v>
      </c>
      <c r="U174" s="50">
        <f>T174+C174</f>
        <v>184</v>
      </c>
      <c r="V174" s="226"/>
      <c r="W174" s="227"/>
      <c r="X174" s="46">
        <f t="shared" si="5"/>
        <v>873</v>
      </c>
      <c r="Y174" s="106">
        <f>D174+H174+L174+P174+T174</f>
        <v>573</v>
      </c>
      <c r="Z174" s="67">
        <f>AVERAGE(E174,I174,M174,Q174,U174)</f>
        <v>174.6</v>
      </c>
      <c r="AA174" s="143">
        <f>AVERAGE(E174,I174,M174,Q174,U174)-C174</f>
        <v>114.6</v>
      </c>
      <c r="AB174" s="220"/>
    </row>
    <row r="175" spans="1:28" s="38" customFormat="1" ht="15" customHeight="1" thickBot="1">
      <c r="A175" s="229" t="s">
        <v>231</v>
      </c>
      <c r="B175" s="230"/>
      <c r="C175" s="151">
        <v>58</v>
      </c>
      <c r="D175" s="60">
        <v>122</v>
      </c>
      <c r="E175" s="50">
        <f>D175+C175</f>
        <v>180</v>
      </c>
      <c r="F175" s="204"/>
      <c r="G175" s="228"/>
      <c r="H175" s="99">
        <v>102</v>
      </c>
      <c r="I175" s="46">
        <f>H175+C175</f>
        <v>160</v>
      </c>
      <c r="J175" s="204"/>
      <c r="K175" s="228"/>
      <c r="L175" s="99">
        <v>127</v>
      </c>
      <c r="M175" s="50">
        <f>L175+C175</f>
        <v>185</v>
      </c>
      <c r="N175" s="204"/>
      <c r="O175" s="228"/>
      <c r="P175" s="99">
        <v>151</v>
      </c>
      <c r="Q175" s="50">
        <f>P175+C175</f>
        <v>209</v>
      </c>
      <c r="R175" s="204"/>
      <c r="S175" s="228"/>
      <c r="T175" s="99">
        <v>113</v>
      </c>
      <c r="U175" s="50">
        <f>T175+C175</f>
        <v>171</v>
      </c>
      <c r="V175" s="204"/>
      <c r="W175" s="228"/>
      <c r="X175" s="47">
        <f t="shared" si="5"/>
        <v>905</v>
      </c>
      <c r="Y175" s="107">
        <f>D175+H175+L175+P175+T175</f>
        <v>615</v>
      </c>
      <c r="Z175" s="68">
        <f>AVERAGE(E175,I175,M175,Q175,U175)</f>
        <v>181</v>
      </c>
      <c r="AA175" s="144">
        <f>AVERAGE(E175,I175,M175,Q175,U175)-C175</f>
        <v>123</v>
      </c>
      <c r="AB175" s="221"/>
    </row>
    <row r="176" spans="1:28" s="40" customFormat="1" ht="21.75" customHeight="1">
      <c r="A176" s="207" t="s">
        <v>332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4"/>
      <c r="W176" s="25"/>
      <c r="Y176" s="57"/>
      <c r="Z176" s="41"/>
      <c r="AA176" s="139"/>
      <c r="AB176" s="25"/>
    </row>
    <row r="177" spans="1:28" s="40" customFormat="1" ht="15.75" customHeight="1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4"/>
      <c r="W177" s="25"/>
      <c r="Y177" s="57"/>
      <c r="Z177" s="41"/>
      <c r="AA177" s="139"/>
      <c r="AB177" s="25"/>
    </row>
    <row r="178" spans="1:28" s="40" customFormat="1" ht="23.25" customHeight="1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5"/>
      <c r="W178" s="25"/>
      <c r="Y178" s="57"/>
      <c r="Z178" s="41"/>
      <c r="AA178" s="139"/>
      <c r="AB178" s="25"/>
    </row>
    <row r="179" spans="1:28" s="31" customFormat="1" ht="15.75" customHeight="1">
      <c r="A179" s="209" t="s">
        <v>0</v>
      </c>
      <c r="B179" s="210"/>
      <c r="C179" s="147" t="s">
        <v>39</v>
      </c>
      <c r="D179" s="55"/>
      <c r="E179" s="27" t="s">
        <v>1</v>
      </c>
      <c r="F179" s="211" t="s">
        <v>2</v>
      </c>
      <c r="G179" s="212"/>
      <c r="H179" s="94"/>
      <c r="I179" s="27" t="s">
        <v>3</v>
      </c>
      <c r="J179" s="211" t="s">
        <v>2</v>
      </c>
      <c r="K179" s="212"/>
      <c r="L179" s="94"/>
      <c r="M179" s="27" t="s">
        <v>4</v>
      </c>
      <c r="N179" s="211" t="s">
        <v>2</v>
      </c>
      <c r="O179" s="212"/>
      <c r="P179" s="94"/>
      <c r="Q179" s="27" t="s">
        <v>5</v>
      </c>
      <c r="R179" s="211" t="s">
        <v>2</v>
      </c>
      <c r="S179" s="212"/>
      <c r="T179" s="94"/>
      <c r="U179" s="27" t="s">
        <v>6</v>
      </c>
      <c r="V179" s="211" t="s">
        <v>2</v>
      </c>
      <c r="W179" s="212"/>
      <c r="X179" s="28" t="s">
        <v>7</v>
      </c>
      <c r="Y179" s="104"/>
      <c r="Z179" s="29" t="s">
        <v>40</v>
      </c>
      <c r="AA179" s="140" t="s">
        <v>42</v>
      </c>
      <c r="AB179" s="30" t="s">
        <v>7</v>
      </c>
    </row>
    <row r="180" spans="1:28" s="31" customFormat="1" ht="15.75" customHeight="1" thickBot="1">
      <c r="A180" s="213" t="s">
        <v>9</v>
      </c>
      <c r="B180" s="214"/>
      <c r="C180" s="148"/>
      <c r="D180" s="56"/>
      <c r="E180" s="32" t="s">
        <v>10</v>
      </c>
      <c r="F180" s="211" t="s">
        <v>11</v>
      </c>
      <c r="G180" s="212"/>
      <c r="H180" s="95"/>
      <c r="I180" s="32" t="s">
        <v>10</v>
      </c>
      <c r="J180" s="215" t="s">
        <v>11</v>
      </c>
      <c r="K180" s="216"/>
      <c r="L180" s="95"/>
      <c r="M180" s="32" t="s">
        <v>10</v>
      </c>
      <c r="N180" s="215" t="s">
        <v>11</v>
      </c>
      <c r="O180" s="216"/>
      <c r="P180" s="95"/>
      <c r="Q180" s="32" t="s">
        <v>10</v>
      </c>
      <c r="R180" s="215" t="s">
        <v>11</v>
      </c>
      <c r="S180" s="216"/>
      <c r="T180" s="95"/>
      <c r="U180" s="32" t="s">
        <v>10</v>
      </c>
      <c r="V180" s="215" t="s">
        <v>11</v>
      </c>
      <c r="W180" s="216"/>
      <c r="X180" s="33" t="s">
        <v>10</v>
      </c>
      <c r="Y180" s="134" t="s">
        <v>287</v>
      </c>
      <c r="Z180" s="34" t="s">
        <v>41</v>
      </c>
      <c r="AA180" s="141" t="s">
        <v>43</v>
      </c>
      <c r="AB180" s="35" t="s">
        <v>12</v>
      </c>
    </row>
    <row r="181" spans="1:28" s="38" customFormat="1" ht="42" customHeight="1">
      <c r="A181" s="217" t="s">
        <v>223</v>
      </c>
      <c r="B181" s="218"/>
      <c r="C181" s="149">
        <f>SUM(C182:C184)</f>
        <v>141</v>
      </c>
      <c r="D181" s="62">
        <f>SUM(D182:D184)</f>
        <v>331</v>
      </c>
      <c r="E181" s="63">
        <f>SUM(E182:E184)</f>
        <v>472</v>
      </c>
      <c r="F181" s="46">
        <f>E201</f>
        <v>510</v>
      </c>
      <c r="G181" s="64" t="str">
        <f>A201</f>
        <v>Nordic Tsement</v>
      </c>
      <c r="H181" s="62">
        <f>SUM(H182:H184)</f>
        <v>426</v>
      </c>
      <c r="I181" s="49">
        <f>SUM(I182:I184)</f>
        <v>567</v>
      </c>
      <c r="J181" s="49">
        <f>I197</f>
        <v>518</v>
      </c>
      <c r="K181" s="42" t="str">
        <f>A197</f>
        <v>Tapa Linna-valitsus</v>
      </c>
      <c r="L181" s="58">
        <f>SUM(L182:L184)</f>
        <v>468</v>
      </c>
      <c r="M181" s="45">
        <f>SUM(M182:M184)</f>
        <v>609</v>
      </c>
      <c r="N181" s="45">
        <f>M193</f>
        <v>559</v>
      </c>
      <c r="O181" s="42" t="str">
        <f>A193</f>
        <v>Assar Lukuauk</v>
      </c>
      <c r="P181" s="45">
        <f>SUM(P182:P184)</f>
        <v>418</v>
      </c>
      <c r="Q181" s="45">
        <f>SUM(Q182:Q184)</f>
        <v>559</v>
      </c>
      <c r="R181" s="45">
        <f>Q189</f>
        <v>491</v>
      </c>
      <c r="S181" s="42" t="str">
        <f>A189</f>
        <v>Eesti Energia</v>
      </c>
      <c r="T181" s="133">
        <f>SUM(T182:T184)</f>
        <v>363</v>
      </c>
      <c r="U181" s="45">
        <f>SUM(U182:U184)</f>
        <v>504</v>
      </c>
      <c r="V181" s="45">
        <f>U185</f>
        <v>0</v>
      </c>
      <c r="W181" s="42" t="str">
        <f>A185</f>
        <v>Wiru Ehitus</v>
      </c>
      <c r="X181" s="36">
        <f aca="true" t="shared" si="6" ref="X181:X204">E181+I181+M181+Q181+U181</f>
        <v>2711</v>
      </c>
      <c r="Y181" s="105">
        <f>SUM(Y182:Y184)</f>
        <v>2006</v>
      </c>
      <c r="Z181" s="37">
        <f>AVERAGE(Z182,Z183,Z184)</f>
        <v>180.73333333333335</v>
      </c>
      <c r="AA181" s="142">
        <f>AVERAGE(AA182,AA183,AA184)</f>
        <v>133.73333333333332</v>
      </c>
      <c r="AB181" s="219">
        <f>F182+J182+N182+R182+V182</f>
        <v>4</v>
      </c>
    </row>
    <row r="182" spans="1:28" s="38" customFormat="1" ht="15.75" customHeight="1">
      <c r="A182" s="222" t="s">
        <v>209</v>
      </c>
      <c r="B182" s="223"/>
      <c r="C182" s="150">
        <v>38</v>
      </c>
      <c r="D182" s="59">
        <v>90</v>
      </c>
      <c r="E182" s="50">
        <f>D182+C182</f>
        <v>128</v>
      </c>
      <c r="F182" s="224">
        <v>0</v>
      </c>
      <c r="G182" s="225"/>
      <c r="H182" s="97">
        <v>159</v>
      </c>
      <c r="I182" s="46">
        <f>H182+C182</f>
        <v>197</v>
      </c>
      <c r="J182" s="224">
        <v>1</v>
      </c>
      <c r="K182" s="225"/>
      <c r="L182" s="97">
        <v>164</v>
      </c>
      <c r="M182" s="50">
        <f>L182+C182</f>
        <v>202</v>
      </c>
      <c r="N182" s="224">
        <v>1</v>
      </c>
      <c r="O182" s="225"/>
      <c r="P182" s="97">
        <v>116</v>
      </c>
      <c r="Q182" s="50">
        <f>P182+C182</f>
        <v>154</v>
      </c>
      <c r="R182" s="224">
        <v>1</v>
      </c>
      <c r="S182" s="225"/>
      <c r="T182" s="97">
        <v>104</v>
      </c>
      <c r="U182" s="50">
        <f>T182+C182</f>
        <v>142</v>
      </c>
      <c r="V182" s="224">
        <v>1</v>
      </c>
      <c r="W182" s="225"/>
      <c r="X182" s="46">
        <f t="shared" si="6"/>
        <v>823</v>
      </c>
      <c r="Y182" s="106">
        <f>D182+H182+L182+P182+T182</f>
        <v>633</v>
      </c>
      <c r="Z182" s="67">
        <f>AVERAGE(E182,I182,M182,Q182,U182)</f>
        <v>164.6</v>
      </c>
      <c r="AA182" s="143">
        <f>AVERAGE(E182,I182,M182,Q182,U182)-C182</f>
        <v>126.6</v>
      </c>
      <c r="AB182" s="220"/>
    </row>
    <row r="183" spans="1:28" s="38" customFormat="1" ht="15.75" customHeight="1">
      <c r="A183" s="222" t="s">
        <v>331</v>
      </c>
      <c r="B183" s="223"/>
      <c r="C183" s="150">
        <v>60</v>
      </c>
      <c r="D183" s="59">
        <v>119</v>
      </c>
      <c r="E183" s="50">
        <f>D183+C183</f>
        <v>179</v>
      </c>
      <c r="F183" s="226"/>
      <c r="G183" s="227"/>
      <c r="H183" s="98">
        <v>135</v>
      </c>
      <c r="I183" s="46">
        <f>H183+C183</f>
        <v>195</v>
      </c>
      <c r="J183" s="226"/>
      <c r="K183" s="227"/>
      <c r="L183" s="98">
        <v>168</v>
      </c>
      <c r="M183" s="50">
        <f>L183+C183</f>
        <v>228</v>
      </c>
      <c r="N183" s="226"/>
      <c r="O183" s="227"/>
      <c r="P183" s="98">
        <v>164</v>
      </c>
      <c r="Q183" s="50">
        <f>P183+C183</f>
        <v>224</v>
      </c>
      <c r="R183" s="226"/>
      <c r="S183" s="227"/>
      <c r="T183" s="98">
        <v>133</v>
      </c>
      <c r="U183" s="50">
        <f>T183+C183</f>
        <v>193</v>
      </c>
      <c r="V183" s="226"/>
      <c r="W183" s="227"/>
      <c r="X183" s="46">
        <f t="shared" si="6"/>
        <v>1019</v>
      </c>
      <c r="Y183" s="106">
        <f>D183+H183+L183+P183+T183</f>
        <v>719</v>
      </c>
      <c r="Z183" s="67">
        <f>AVERAGE(E183,I183,M183,Q183,U183)</f>
        <v>203.8</v>
      </c>
      <c r="AA183" s="143">
        <f>AVERAGE(E183,I183,M183,Q183,U183)-C183</f>
        <v>143.8</v>
      </c>
      <c r="AB183" s="220"/>
    </row>
    <row r="184" spans="1:28" s="38" customFormat="1" ht="16.5" customHeight="1" thickBot="1">
      <c r="A184" s="229" t="s">
        <v>211</v>
      </c>
      <c r="B184" s="230"/>
      <c r="C184" s="151">
        <v>43</v>
      </c>
      <c r="D184" s="60">
        <v>122</v>
      </c>
      <c r="E184" s="50">
        <f>D184+C184</f>
        <v>165</v>
      </c>
      <c r="F184" s="204"/>
      <c r="G184" s="228"/>
      <c r="H184" s="99">
        <v>132</v>
      </c>
      <c r="I184" s="46">
        <f>H184+C184</f>
        <v>175</v>
      </c>
      <c r="J184" s="204"/>
      <c r="K184" s="228"/>
      <c r="L184" s="99">
        <v>136</v>
      </c>
      <c r="M184" s="50">
        <f>L184+C184</f>
        <v>179</v>
      </c>
      <c r="N184" s="204"/>
      <c r="O184" s="228"/>
      <c r="P184" s="99">
        <v>138</v>
      </c>
      <c r="Q184" s="50">
        <f>P184+C184</f>
        <v>181</v>
      </c>
      <c r="R184" s="204"/>
      <c r="S184" s="228"/>
      <c r="T184" s="99">
        <v>126</v>
      </c>
      <c r="U184" s="50">
        <f>T184+C184</f>
        <v>169</v>
      </c>
      <c r="V184" s="204"/>
      <c r="W184" s="228"/>
      <c r="X184" s="47">
        <f t="shared" si="6"/>
        <v>869</v>
      </c>
      <c r="Y184" s="107">
        <f>D184+H184+L184+P184+T184</f>
        <v>654</v>
      </c>
      <c r="Z184" s="68">
        <f>AVERAGE(E184,I184,M184,Q184,U184)</f>
        <v>173.8</v>
      </c>
      <c r="AA184" s="144">
        <f>AVERAGE(E184,I184,M184,Q184,U184)-C184</f>
        <v>130.8</v>
      </c>
      <c r="AB184" s="221"/>
    </row>
    <row r="185" spans="1:28" s="38" customFormat="1" ht="41.25" customHeight="1">
      <c r="A185" s="217" t="s">
        <v>237</v>
      </c>
      <c r="B185" s="218"/>
      <c r="C185" s="149">
        <f>SUM(C186:C188)</f>
        <v>156</v>
      </c>
      <c r="D185" s="62">
        <f>SUM(D186:D188)</f>
        <v>0</v>
      </c>
      <c r="E185" s="45">
        <f>SUM(E186:E188)</f>
        <v>0</v>
      </c>
      <c r="F185" s="45">
        <f>E197</f>
        <v>435</v>
      </c>
      <c r="G185" s="42" t="str">
        <f>A197</f>
        <v>Tapa Linna-valitsus</v>
      </c>
      <c r="H185" s="62">
        <f>SUM(H186:H188)</f>
        <v>0</v>
      </c>
      <c r="I185" s="45">
        <f>SUM(I186:I188)</f>
        <v>0</v>
      </c>
      <c r="J185" s="45">
        <f>I193</f>
        <v>517</v>
      </c>
      <c r="K185" s="42" t="str">
        <f>A193</f>
        <v>Assar Lukuauk</v>
      </c>
      <c r="L185" s="133">
        <f>SUM(L186:L188)</f>
        <v>0</v>
      </c>
      <c r="M185" s="49">
        <f>SUM(M186:M188)</f>
        <v>0</v>
      </c>
      <c r="N185" s="45">
        <f>M189</f>
        <v>431</v>
      </c>
      <c r="O185" s="42" t="str">
        <f>A189</f>
        <v>Eesti Energia</v>
      </c>
      <c r="P185" s="45">
        <f>SUM(P186:P188)</f>
        <v>0</v>
      </c>
      <c r="Q185" s="49">
        <f>SUM(Q186:Q188)</f>
        <v>0</v>
      </c>
      <c r="R185" s="45">
        <f>Q201</f>
        <v>484</v>
      </c>
      <c r="S185" s="42" t="str">
        <f>A201</f>
        <v>Nordic Tsement</v>
      </c>
      <c r="T185" s="133">
        <f>SUM(T186:T188)</f>
        <v>0</v>
      </c>
      <c r="U185" s="49">
        <f>SUM(U186:U188)</f>
        <v>0</v>
      </c>
      <c r="V185" s="45">
        <f>U181</f>
        <v>504</v>
      </c>
      <c r="W185" s="42" t="str">
        <f>A181</f>
        <v>MP Auto</v>
      </c>
      <c r="X185" s="36">
        <f t="shared" si="6"/>
        <v>0</v>
      </c>
      <c r="Y185" s="105">
        <f>SUM(Y186:Y188)</f>
        <v>0</v>
      </c>
      <c r="Z185" s="65" t="e">
        <f>AVERAGE(Z186,Z187,Z188)</f>
        <v>#DIV/0!</v>
      </c>
      <c r="AA185" s="142" t="e">
        <f>AVERAGE(AA186,AA187,AA188)</f>
        <v>#DIV/0!</v>
      </c>
      <c r="AB185" s="219">
        <f>F186+J186+N186+R186+V186</f>
        <v>0</v>
      </c>
    </row>
    <row r="186" spans="1:28" s="38" customFormat="1" ht="15.75" customHeight="1">
      <c r="A186" s="222" t="s">
        <v>240</v>
      </c>
      <c r="B186" s="223"/>
      <c r="C186" s="150">
        <v>60</v>
      </c>
      <c r="D186" s="59"/>
      <c r="E186" s="50"/>
      <c r="F186" s="224">
        <v>0</v>
      </c>
      <c r="G186" s="225"/>
      <c r="H186" s="97"/>
      <c r="I186" s="46"/>
      <c r="J186" s="224">
        <v>0</v>
      </c>
      <c r="K186" s="225"/>
      <c r="L186" s="97"/>
      <c r="M186" s="50"/>
      <c r="N186" s="224">
        <v>0</v>
      </c>
      <c r="O186" s="225"/>
      <c r="P186" s="97"/>
      <c r="Q186" s="50"/>
      <c r="R186" s="224">
        <v>0</v>
      </c>
      <c r="S186" s="225"/>
      <c r="T186" s="97"/>
      <c r="U186" s="50"/>
      <c r="V186" s="224">
        <v>0</v>
      </c>
      <c r="W186" s="225"/>
      <c r="X186" s="46">
        <f t="shared" si="6"/>
        <v>0</v>
      </c>
      <c r="Y186" s="106">
        <f>D186+H186+L186+P186+T186</f>
        <v>0</v>
      </c>
      <c r="Z186" s="67" t="e">
        <f>AVERAGE(E186,I186,M186,Q186,U186)</f>
        <v>#DIV/0!</v>
      </c>
      <c r="AA186" s="143" t="e">
        <f>AVERAGE(E186,I186,M186,Q186,U186)-C186</f>
        <v>#DIV/0!</v>
      </c>
      <c r="AB186" s="220"/>
    </row>
    <row r="187" spans="1:28" s="38" customFormat="1" ht="15.75" customHeight="1">
      <c r="A187" s="222" t="s">
        <v>238</v>
      </c>
      <c r="B187" s="223"/>
      <c r="C187" s="150">
        <v>52</v>
      </c>
      <c r="D187" s="59"/>
      <c r="E187" s="50"/>
      <c r="F187" s="226"/>
      <c r="G187" s="227"/>
      <c r="H187" s="98"/>
      <c r="I187" s="46"/>
      <c r="J187" s="226"/>
      <c r="K187" s="227"/>
      <c r="L187" s="98"/>
      <c r="M187" s="50"/>
      <c r="N187" s="226"/>
      <c r="O187" s="227"/>
      <c r="P187" s="98"/>
      <c r="Q187" s="50"/>
      <c r="R187" s="226"/>
      <c r="S187" s="227"/>
      <c r="T187" s="98"/>
      <c r="U187" s="50"/>
      <c r="V187" s="226"/>
      <c r="W187" s="227"/>
      <c r="X187" s="46">
        <f t="shared" si="6"/>
        <v>0</v>
      </c>
      <c r="Y187" s="106">
        <f>D187+H187+L187+P187+T187</f>
        <v>0</v>
      </c>
      <c r="Z187" s="67" t="e">
        <f>AVERAGE(E187,I187,M187,Q187,U187)</f>
        <v>#DIV/0!</v>
      </c>
      <c r="AA187" s="143" t="e">
        <f>AVERAGE(E187,I187,M187,Q187,U187)-C187</f>
        <v>#DIV/0!</v>
      </c>
      <c r="AB187" s="220"/>
    </row>
    <row r="188" spans="1:28" s="38" customFormat="1" ht="15.75" customHeight="1" thickBot="1">
      <c r="A188" s="229" t="s">
        <v>319</v>
      </c>
      <c r="B188" s="230"/>
      <c r="C188" s="151">
        <v>44</v>
      </c>
      <c r="D188" s="60"/>
      <c r="E188" s="50"/>
      <c r="F188" s="204"/>
      <c r="G188" s="228"/>
      <c r="H188" s="99"/>
      <c r="I188" s="46"/>
      <c r="J188" s="204"/>
      <c r="K188" s="228"/>
      <c r="L188" s="99"/>
      <c r="M188" s="50"/>
      <c r="N188" s="204"/>
      <c r="O188" s="228"/>
      <c r="P188" s="99"/>
      <c r="Q188" s="50"/>
      <c r="R188" s="204"/>
      <c r="S188" s="228"/>
      <c r="T188" s="99"/>
      <c r="U188" s="50"/>
      <c r="V188" s="204"/>
      <c r="W188" s="228"/>
      <c r="X188" s="47">
        <f t="shared" si="6"/>
        <v>0</v>
      </c>
      <c r="Y188" s="107">
        <f>D188+H188+L188+P188+T188</f>
        <v>0</v>
      </c>
      <c r="Z188" s="68" t="e">
        <f>AVERAGE(E188,I188,M188,Q188,U188)</f>
        <v>#DIV/0!</v>
      </c>
      <c r="AA188" s="144" t="e">
        <f>AVERAGE(E188,I188,M188,Q188,U188)-C188</f>
        <v>#DIV/0!</v>
      </c>
      <c r="AB188" s="221"/>
    </row>
    <row r="189" spans="1:28" s="38" customFormat="1" ht="47.25" customHeight="1">
      <c r="A189" s="217" t="s">
        <v>164</v>
      </c>
      <c r="B189" s="218"/>
      <c r="C189" s="149">
        <f>SUM(C190:C192)</f>
        <v>139</v>
      </c>
      <c r="D189" s="62">
        <f>SUM(D190:D192)</f>
        <v>394</v>
      </c>
      <c r="E189" s="45">
        <f>SUM(E190:E192)</f>
        <v>533</v>
      </c>
      <c r="F189" s="45">
        <f>E193</f>
        <v>563</v>
      </c>
      <c r="G189" s="42" t="str">
        <f>A193</f>
        <v>Assar Lukuauk</v>
      </c>
      <c r="H189" s="62">
        <f>SUM(H190:H192)</f>
        <v>394</v>
      </c>
      <c r="I189" s="45">
        <f>SUM(I190:I192)</f>
        <v>533</v>
      </c>
      <c r="J189" s="45">
        <f>I201</f>
        <v>529</v>
      </c>
      <c r="K189" s="42" t="str">
        <f>A201</f>
        <v>Nordic Tsement</v>
      </c>
      <c r="L189" s="133">
        <f>SUM(L190:L192)</f>
        <v>292</v>
      </c>
      <c r="M189" s="69">
        <f>SUM(M190:M192)</f>
        <v>431</v>
      </c>
      <c r="N189" s="45">
        <f>M185</f>
        <v>0</v>
      </c>
      <c r="O189" s="42" t="str">
        <f>A185</f>
        <v>Wiru Ehitus</v>
      </c>
      <c r="P189" s="45">
        <f>SUM(P190:P192)</f>
        <v>352</v>
      </c>
      <c r="Q189" s="49">
        <f>SUM(Q190:Q192)</f>
        <v>491</v>
      </c>
      <c r="R189" s="45">
        <f>Q181</f>
        <v>559</v>
      </c>
      <c r="S189" s="42" t="str">
        <f>A181</f>
        <v>MP Auto</v>
      </c>
      <c r="T189" s="133">
        <f>SUM(T190:T192)</f>
        <v>347</v>
      </c>
      <c r="U189" s="69">
        <f>SUM(U190:U192)</f>
        <v>486</v>
      </c>
      <c r="V189" s="45">
        <f>U197</f>
        <v>545</v>
      </c>
      <c r="W189" s="42" t="str">
        <f>A197</f>
        <v>Tapa Linna-valitsus</v>
      </c>
      <c r="X189" s="36">
        <f t="shared" si="6"/>
        <v>2474</v>
      </c>
      <c r="Y189" s="105">
        <f>SUM(Y190:Y192)</f>
        <v>1779</v>
      </c>
      <c r="Z189" s="65">
        <f>AVERAGE(Z190,Z191,Z192)</f>
        <v>164.93333333333334</v>
      </c>
      <c r="AA189" s="142">
        <f>AVERAGE(AA190,AA191,AA192)</f>
        <v>118.60000000000001</v>
      </c>
      <c r="AB189" s="219">
        <f>F190+J190+N190+R190+V190</f>
        <v>2</v>
      </c>
    </row>
    <row r="190" spans="1:28" s="38" customFormat="1" ht="15.75" customHeight="1">
      <c r="A190" s="222" t="s">
        <v>261</v>
      </c>
      <c r="B190" s="223"/>
      <c r="C190" s="150">
        <v>46</v>
      </c>
      <c r="D190" s="59">
        <v>127</v>
      </c>
      <c r="E190" s="50">
        <f>D190+C190</f>
        <v>173</v>
      </c>
      <c r="F190" s="224">
        <v>0</v>
      </c>
      <c r="G190" s="225"/>
      <c r="H190" s="97">
        <v>118</v>
      </c>
      <c r="I190" s="46">
        <f>H190+C190</f>
        <v>164</v>
      </c>
      <c r="J190" s="224">
        <v>1</v>
      </c>
      <c r="K190" s="225"/>
      <c r="L190" s="97">
        <v>102</v>
      </c>
      <c r="M190" s="50">
        <f>L190+C190</f>
        <v>148</v>
      </c>
      <c r="N190" s="224">
        <v>1</v>
      </c>
      <c r="O190" s="225"/>
      <c r="P190" s="97">
        <v>91</v>
      </c>
      <c r="Q190" s="50">
        <f>P190+C190</f>
        <v>137</v>
      </c>
      <c r="R190" s="224">
        <v>0</v>
      </c>
      <c r="S190" s="225"/>
      <c r="T190" s="97">
        <v>137</v>
      </c>
      <c r="U190" s="50">
        <f>T190+C190</f>
        <v>183</v>
      </c>
      <c r="V190" s="224">
        <v>0</v>
      </c>
      <c r="W190" s="225"/>
      <c r="X190" s="46">
        <f t="shared" si="6"/>
        <v>805</v>
      </c>
      <c r="Y190" s="106">
        <f>D190+H190+L190+P190+T190</f>
        <v>575</v>
      </c>
      <c r="Z190" s="67">
        <f>AVERAGE(E190,I190,M190,Q190,U190)</f>
        <v>161</v>
      </c>
      <c r="AA190" s="143">
        <f>AVERAGE(E190,I190,M190,Q190,U190)-C190</f>
        <v>115</v>
      </c>
      <c r="AB190" s="220"/>
    </row>
    <row r="191" spans="1:28" s="38" customFormat="1" ht="15.75" customHeight="1">
      <c r="A191" s="222" t="s">
        <v>150</v>
      </c>
      <c r="B191" s="223"/>
      <c r="C191" s="150">
        <v>60</v>
      </c>
      <c r="D191" s="59">
        <v>122</v>
      </c>
      <c r="E191" s="50">
        <f>D191+C191</f>
        <v>182</v>
      </c>
      <c r="F191" s="226"/>
      <c r="G191" s="227"/>
      <c r="H191" s="98">
        <v>139</v>
      </c>
      <c r="I191" s="46">
        <f>H191+C191</f>
        <v>199</v>
      </c>
      <c r="J191" s="226"/>
      <c r="K191" s="227"/>
      <c r="L191" s="98">
        <v>84</v>
      </c>
      <c r="M191" s="50">
        <f>L191+C191</f>
        <v>144</v>
      </c>
      <c r="N191" s="226"/>
      <c r="O191" s="227"/>
      <c r="P191" s="98">
        <v>98</v>
      </c>
      <c r="Q191" s="50">
        <f>P191+C191</f>
        <v>158</v>
      </c>
      <c r="R191" s="226"/>
      <c r="S191" s="227"/>
      <c r="T191" s="98">
        <v>96</v>
      </c>
      <c r="U191" s="50">
        <f>T191+C191</f>
        <v>156</v>
      </c>
      <c r="V191" s="226"/>
      <c r="W191" s="227"/>
      <c r="X191" s="46">
        <f t="shared" si="6"/>
        <v>839</v>
      </c>
      <c r="Y191" s="106">
        <f>D191+H191+L191+P191+T191</f>
        <v>539</v>
      </c>
      <c r="Z191" s="67">
        <f>AVERAGE(E191,I191,M191,Q191,U191)</f>
        <v>167.8</v>
      </c>
      <c r="AA191" s="143">
        <f>AVERAGE(E191,I191,M191,Q191,U191)-C191</f>
        <v>107.80000000000001</v>
      </c>
      <c r="AB191" s="220"/>
    </row>
    <row r="192" spans="1:28" s="38" customFormat="1" ht="15.75" customHeight="1" thickBot="1">
      <c r="A192" s="229" t="s">
        <v>151</v>
      </c>
      <c r="B192" s="230"/>
      <c r="C192" s="151">
        <v>33</v>
      </c>
      <c r="D192" s="60">
        <v>145</v>
      </c>
      <c r="E192" s="50">
        <f>D192+C192</f>
        <v>178</v>
      </c>
      <c r="F192" s="204"/>
      <c r="G192" s="228"/>
      <c r="H192" s="99">
        <v>137</v>
      </c>
      <c r="I192" s="46">
        <f>H192+C192</f>
        <v>170</v>
      </c>
      <c r="J192" s="204"/>
      <c r="K192" s="228"/>
      <c r="L192" s="99">
        <v>106</v>
      </c>
      <c r="M192" s="50">
        <f>L192+C192</f>
        <v>139</v>
      </c>
      <c r="N192" s="204"/>
      <c r="O192" s="228"/>
      <c r="P192" s="99">
        <v>163</v>
      </c>
      <c r="Q192" s="50">
        <f>P192+C192</f>
        <v>196</v>
      </c>
      <c r="R192" s="204"/>
      <c r="S192" s="228"/>
      <c r="T192" s="99">
        <v>114</v>
      </c>
      <c r="U192" s="50">
        <f>T192+C192</f>
        <v>147</v>
      </c>
      <c r="V192" s="204"/>
      <c r="W192" s="228"/>
      <c r="X192" s="47">
        <f t="shared" si="6"/>
        <v>830</v>
      </c>
      <c r="Y192" s="107">
        <f>D192+H192+L192+P192+T192</f>
        <v>665</v>
      </c>
      <c r="Z192" s="68">
        <f>AVERAGE(E192,I192,M192,Q192,U192)</f>
        <v>166</v>
      </c>
      <c r="AA192" s="144">
        <f>AVERAGE(E192,I192,M192,Q192,U192)-C192</f>
        <v>133</v>
      </c>
      <c r="AB192" s="221"/>
    </row>
    <row r="193" spans="1:28" s="38" customFormat="1" ht="39" customHeight="1">
      <c r="A193" s="217" t="s">
        <v>224</v>
      </c>
      <c r="B193" s="218"/>
      <c r="C193" s="149">
        <f>SUM(C194:C196)</f>
        <v>88</v>
      </c>
      <c r="D193" s="62">
        <f>SUM(D194:D196)</f>
        <v>475</v>
      </c>
      <c r="E193" s="45">
        <f>SUM(E194:E196)</f>
        <v>563</v>
      </c>
      <c r="F193" s="45">
        <f>E189</f>
        <v>533</v>
      </c>
      <c r="G193" s="42" t="str">
        <f>A189</f>
        <v>Eesti Energia</v>
      </c>
      <c r="H193" s="62">
        <f>SUM(H194:H196)</f>
        <v>429</v>
      </c>
      <c r="I193" s="45">
        <f>SUM(I194:I196)</f>
        <v>517</v>
      </c>
      <c r="J193" s="45">
        <f>I185</f>
        <v>0</v>
      </c>
      <c r="K193" s="42" t="str">
        <f>A185</f>
        <v>Wiru Ehitus</v>
      </c>
      <c r="L193" s="133">
        <f>SUM(L194:L196)</f>
        <v>471</v>
      </c>
      <c r="M193" s="49">
        <f>SUM(M194:M196)</f>
        <v>559</v>
      </c>
      <c r="N193" s="45">
        <f>M181</f>
        <v>609</v>
      </c>
      <c r="O193" s="42" t="str">
        <f>A181</f>
        <v>MP Auto</v>
      </c>
      <c r="P193" s="45">
        <f>SUM(P194:P196)</f>
        <v>412</v>
      </c>
      <c r="Q193" s="49">
        <f>SUM(Q194:Q196)</f>
        <v>500</v>
      </c>
      <c r="R193" s="45">
        <f>Q197</f>
        <v>549</v>
      </c>
      <c r="S193" s="42" t="str">
        <f>A197</f>
        <v>Tapa Linna-valitsus</v>
      </c>
      <c r="T193" s="133">
        <f>SUM(T194:T196)</f>
        <v>510</v>
      </c>
      <c r="U193" s="49">
        <f>SUM(U194:U196)</f>
        <v>598</v>
      </c>
      <c r="V193" s="45">
        <f>U201</f>
        <v>489</v>
      </c>
      <c r="W193" s="42" t="str">
        <f>A201</f>
        <v>Nordic Tsement</v>
      </c>
      <c r="X193" s="36">
        <f t="shared" si="6"/>
        <v>2737</v>
      </c>
      <c r="Y193" s="105">
        <f>SUM(Y194:Y196)</f>
        <v>2297</v>
      </c>
      <c r="Z193" s="65">
        <f>AVERAGE(Z194,Z195,Z196)</f>
        <v>182.46666666666667</v>
      </c>
      <c r="AA193" s="142">
        <f>AVERAGE(AA194,AA195,AA196)</f>
        <v>153.13333333333333</v>
      </c>
      <c r="AB193" s="219">
        <f>F194+J194+N194+R194+V194</f>
        <v>3</v>
      </c>
    </row>
    <row r="194" spans="1:28" s="38" customFormat="1" ht="15.75" customHeight="1">
      <c r="A194" s="222" t="s">
        <v>218</v>
      </c>
      <c r="B194" s="223"/>
      <c r="C194" s="150">
        <v>13</v>
      </c>
      <c r="D194" s="59">
        <v>179</v>
      </c>
      <c r="E194" s="50">
        <f>D194+C194</f>
        <v>192</v>
      </c>
      <c r="F194" s="224">
        <v>1</v>
      </c>
      <c r="G194" s="225"/>
      <c r="H194" s="97">
        <v>142</v>
      </c>
      <c r="I194" s="46">
        <f>H194+C194</f>
        <v>155</v>
      </c>
      <c r="J194" s="224">
        <v>1</v>
      </c>
      <c r="K194" s="225"/>
      <c r="L194" s="97">
        <v>221</v>
      </c>
      <c r="M194" s="50">
        <f>L194+C194</f>
        <v>234</v>
      </c>
      <c r="N194" s="224">
        <v>0</v>
      </c>
      <c r="O194" s="225"/>
      <c r="P194" s="97">
        <v>141</v>
      </c>
      <c r="Q194" s="50">
        <f>P194+C194</f>
        <v>154</v>
      </c>
      <c r="R194" s="224">
        <v>0</v>
      </c>
      <c r="S194" s="225"/>
      <c r="T194" s="97">
        <v>167</v>
      </c>
      <c r="U194" s="50">
        <f>T194+C194</f>
        <v>180</v>
      </c>
      <c r="V194" s="224">
        <v>1</v>
      </c>
      <c r="W194" s="225"/>
      <c r="X194" s="46">
        <f t="shared" si="6"/>
        <v>915</v>
      </c>
      <c r="Y194" s="106">
        <f>D194+H194+L194+P194+T194</f>
        <v>850</v>
      </c>
      <c r="Z194" s="67">
        <f>AVERAGE(E194,I194,M194,Q194,U194)</f>
        <v>183</v>
      </c>
      <c r="AA194" s="143">
        <f>AVERAGE(E194,I194,M194,Q194,U194)-C194</f>
        <v>170</v>
      </c>
      <c r="AB194" s="220"/>
    </row>
    <row r="195" spans="1:28" s="38" customFormat="1" ht="15.75" customHeight="1">
      <c r="A195" s="222" t="s">
        <v>219</v>
      </c>
      <c r="B195" s="223"/>
      <c r="C195" s="150">
        <v>33</v>
      </c>
      <c r="D195" s="59">
        <v>149</v>
      </c>
      <c r="E195" s="50">
        <f>D195+C195</f>
        <v>182</v>
      </c>
      <c r="F195" s="226"/>
      <c r="G195" s="227"/>
      <c r="H195" s="98">
        <v>135</v>
      </c>
      <c r="I195" s="46">
        <f>H195+C195</f>
        <v>168</v>
      </c>
      <c r="J195" s="226"/>
      <c r="K195" s="227"/>
      <c r="L195" s="98">
        <v>127</v>
      </c>
      <c r="M195" s="50">
        <f>L195+C195</f>
        <v>160</v>
      </c>
      <c r="N195" s="226"/>
      <c r="O195" s="227"/>
      <c r="P195" s="98">
        <v>138</v>
      </c>
      <c r="Q195" s="50">
        <f>P195+C195</f>
        <v>171</v>
      </c>
      <c r="R195" s="226"/>
      <c r="S195" s="227"/>
      <c r="T195" s="98">
        <v>171</v>
      </c>
      <c r="U195" s="50">
        <f>T195+C195</f>
        <v>204</v>
      </c>
      <c r="V195" s="226"/>
      <c r="W195" s="227"/>
      <c r="X195" s="46">
        <f t="shared" si="6"/>
        <v>885</v>
      </c>
      <c r="Y195" s="106">
        <f>D195+H195+L195+P195+T195</f>
        <v>720</v>
      </c>
      <c r="Z195" s="67">
        <f>AVERAGE(E195,I195,M195,Q195,U195)</f>
        <v>177</v>
      </c>
      <c r="AA195" s="143">
        <f>AVERAGE(E195,I195,M195,Q195,U195)-C195</f>
        <v>144</v>
      </c>
      <c r="AB195" s="220"/>
    </row>
    <row r="196" spans="1:29" s="38" customFormat="1" ht="15.75" customHeight="1" thickBot="1">
      <c r="A196" s="229" t="s">
        <v>220</v>
      </c>
      <c r="B196" s="230"/>
      <c r="C196" s="151">
        <v>42</v>
      </c>
      <c r="D196" s="60">
        <v>147</v>
      </c>
      <c r="E196" s="50">
        <f>D196+C196</f>
        <v>189</v>
      </c>
      <c r="F196" s="204"/>
      <c r="G196" s="228"/>
      <c r="H196" s="99">
        <v>152</v>
      </c>
      <c r="I196" s="46">
        <f>H196+C196</f>
        <v>194</v>
      </c>
      <c r="J196" s="204"/>
      <c r="K196" s="228"/>
      <c r="L196" s="99">
        <v>123</v>
      </c>
      <c r="M196" s="50">
        <f>L196+C196</f>
        <v>165</v>
      </c>
      <c r="N196" s="204"/>
      <c r="O196" s="228"/>
      <c r="P196" s="99">
        <v>133</v>
      </c>
      <c r="Q196" s="50">
        <f>P196+C196</f>
        <v>175</v>
      </c>
      <c r="R196" s="204"/>
      <c r="S196" s="228"/>
      <c r="T196" s="99">
        <v>172</v>
      </c>
      <c r="U196" s="50">
        <f>T196+C196</f>
        <v>214</v>
      </c>
      <c r="V196" s="204"/>
      <c r="W196" s="228"/>
      <c r="X196" s="47">
        <f t="shared" si="6"/>
        <v>937</v>
      </c>
      <c r="Y196" s="107">
        <f>D196+H196+L196+P196+T196</f>
        <v>727</v>
      </c>
      <c r="Z196" s="68">
        <f>AVERAGE(E196,I196,M196,Q196,U196)</f>
        <v>187.4</v>
      </c>
      <c r="AA196" s="144">
        <f>AVERAGE(E196,I196,M196,Q196,U196)-C196</f>
        <v>145.4</v>
      </c>
      <c r="AB196" s="221"/>
      <c r="AC196" s="44"/>
    </row>
    <row r="197" spans="1:28" s="38" customFormat="1" ht="53.25" customHeight="1">
      <c r="A197" s="217" t="s">
        <v>316</v>
      </c>
      <c r="B197" s="218"/>
      <c r="C197" s="149">
        <f>SUM(C198:C200)</f>
        <v>168</v>
      </c>
      <c r="D197" s="62">
        <f>SUM(D198:D200)</f>
        <v>267</v>
      </c>
      <c r="E197" s="45">
        <f>SUM(E198:E200)</f>
        <v>435</v>
      </c>
      <c r="F197" s="45">
        <f>E185</f>
        <v>0</v>
      </c>
      <c r="G197" s="42" t="str">
        <f>A185</f>
        <v>Wiru Ehitus</v>
      </c>
      <c r="H197" s="62">
        <f>SUM(H198:H200)</f>
        <v>350</v>
      </c>
      <c r="I197" s="45">
        <f>SUM(I198:I200)</f>
        <v>518</v>
      </c>
      <c r="J197" s="45">
        <f>I181</f>
        <v>567</v>
      </c>
      <c r="K197" s="42" t="str">
        <f>A181</f>
        <v>MP Auto</v>
      </c>
      <c r="L197" s="133">
        <f>SUM(L198:L200)</f>
        <v>340</v>
      </c>
      <c r="M197" s="69">
        <f>SUM(M198:M200)</f>
        <v>508</v>
      </c>
      <c r="N197" s="45">
        <f>M201</f>
        <v>489</v>
      </c>
      <c r="O197" s="42" t="str">
        <f>A201</f>
        <v>Nordic Tsement</v>
      </c>
      <c r="P197" s="45">
        <f>SUM(P198:P200)</f>
        <v>381</v>
      </c>
      <c r="Q197" s="69">
        <f>SUM(Q198:Q200)</f>
        <v>549</v>
      </c>
      <c r="R197" s="45">
        <f>Q193</f>
        <v>500</v>
      </c>
      <c r="S197" s="42" t="str">
        <f>A193</f>
        <v>Assar Lukuauk</v>
      </c>
      <c r="T197" s="133">
        <f>SUM(T198:T200)</f>
        <v>377</v>
      </c>
      <c r="U197" s="69">
        <f>SUM(U198:U200)</f>
        <v>545</v>
      </c>
      <c r="V197" s="45">
        <f>U189</f>
        <v>486</v>
      </c>
      <c r="W197" s="42" t="str">
        <f>A189</f>
        <v>Eesti Energia</v>
      </c>
      <c r="X197" s="36">
        <f t="shared" si="6"/>
        <v>2555</v>
      </c>
      <c r="Y197" s="105">
        <f>SUM(Y198:Y200)</f>
        <v>1715</v>
      </c>
      <c r="Z197" s="65">
        <f>AVERAGE(Z198,Z199,Z200)</f>
        <v>170.33333333333334</v>
      </c>
      <c r="AA197" s="142">
        <f>AVERAGE(AA198,AA199,AA200)</f>
        <v>114.33333333333333</v>
      </c>
      <c r="AB197" s="219">
        <f>F198+J198+N198+R198+V198</f>
        <v>4</v>
      </c>
    </row>
    <row r="198" spans="1:28" s="38" customFormat="1" ht="15.75" customHeight="1">
      <c r="A198" s="222" t="s">
        <v>123</v>
      </c>
      <c r="B198" s="223"/>
      <c r="C198" s="150">
        <v>53</v>
      </c>
      <c r="D198" s="59">
        <v>87</v>
      </c>
      <c r="E198" s="50">
        <f>D198+C198</f>
        <v>140</v>
      </c>
      <c r="F198" s="224">
        <v>1</v>
      </c>
      <c r="G198" s="225"/>
      <c r="H198" s="97">
        <v>132</v>
      </c>
      <c r="I198" s="46">
        <f>H198+C198</f>
        <v>185</v>
      </c>
      <c r="J198" s="224">
        <v>0</v>
      </c>
      <c r="K198" s="225"/>
      <c r="L198" s="97">
        <v>104</v>
      </c>
      <c r="M198" s="50">
        <f>L198+C198</f>
        <v>157</v>
      </c>
      <c r="N198" s="224">
        <v>1</v>
      </c>
      <c r="O198" s="225"/>
      <c r="P198" s="97">
        <v>153</v>
      </c>
      <c r="Q198" s="50">
        <f>P198+C198</f>
        <v>206</v>
      </c>
      <c r="R198" s="224">
        <v>1</v>
      </c>
      <c r="S198" s="225"/>
      <c r="T198" s="97">
        <v>116</v>
      </c>
      <c r="U198" s="50">
        <f>T198+C198</f>
        <v>169</v>
      </c>
      <c r="V198" s="224">
        <v>1</v>
      </c>
      <c r="W198" s="225"/>
      <c r="X198" s="46">
        <f t="shared" si="6"/>
        <v>857</v>
      </c>
      <c r="Y198" s="106">
        <f>D198+H198+L198+P198+T198</f>
        <v>592</v>
      </c>
      <c r="Z198" s="67">
        <f>AVERAGE(E198,I198,M198,Q198,U198)</f>
        <v>171.4</v>
      </c>
      <c r="AA198" s="143">
        <f>AVERAGE(E198,I198,M198,Q198,U198)-C198</f>
        <v>118.4</v>
      </c>
      <c r="AB198" s="220"/>
    </row>
    <row r="199" spans="1:28" s="38" customFormat="1" ht="15.75" customHeight="1">
      <c r="A199" s="222" t="s">
        <v>124</v>
      </c>
      <c r="B199" s="223"/>
      <c r="C199" s="150">
        <v>55</v>
      </c>
      <c r="D199" s="59">
        <v>89</v>
      </c>
      <c r="E199" s="50">
        <f>D199+C199</f>
        <v>144</v>
      </c>
      <c r="F199" s="226"/>
      <c r="G199" s="227"/>
      <c r="H199" s="98">
        <v>120</v>
      </c>
      <c r="I199" s="46">
        <f>H199+C199</f>
        <v>175</v>
      </c>
      <c r="J199" s="226"/>
      <c r="K199" s="227"/>
      <c r="L199" s="98">
        <v>119</v>
      </c>
      <c r="M199" s="50">
        <f>L199+C199</f>
        <v>174</v>
      </c>
      <c r="N199" s="226"/>
      <c r="O199" s="227"/>
      <c r="P199" s="98">
        <v>108</v>
      </c>
      <c r="Q199" s="50">
        <f>P199+C199</f>
        <v>163</v>
      </c>
      <c r="R199" s="226"/>
      <c r="S199" s="227"/>
      <c r="T199" s="98">
        <v>138</v>
      </c>
      <c r="U199" s="50">
        <f>T199+C199</f>
        <v>193</v>
      </c>
      <c r="V199" s="226"/>
      <c r="W199" s="227"/>
      <c r="X199" s="46">
        <f t="shared" si="6"/>
        <v>849</v>
      </c>
      <c r="Y199" s="106">
        <f>D199+H199+L199+P199+T199</f>
        <v>574</v>
      </c>
      <c r="Z199" s="67">
        <f>AVERAGE(E199,I199,M199,Q199,U199)</f>
        <v>169.8</v>
      </c>
      <c r="AA199" s="143">
        <f>AVERAGE(E199,I199,M199,Q199,U199)-C199</f>
        <v>114.80000000000001</v>
      </c>
      <c r="AB199" s="220"/>
    </row>
    <row r="200" spans="1:28" s="38" customFormat="1" ht="15.75" customHeight="1" thickBot="1">
      <c r="A200" s="229" t="s">
        <v>272</v>
      </c>
      <c r="B200" s="230"/>
      <c r="C200" s="151">
        <v>60</v>
      </c>
      <c r="D200" s="60">
        <v>91</v>
      </c>
      <c r="E200" s="50">
        <f>D200+C200</f>
        <v>151</v>
      </c>
      <c r="F200" s="204"/>
      <c r="G200" s="228"/>
      <c r="H200" s="99">
        <v>98</v>
      </c>
      <c r="I200" s="46">
        <f>H200+C200</f>
        <v>158</v>
      </c>
      <c r="J200" s="204"/>
      <c r="K200" s="228"/>
      <c r="L200" s="99">
        <v>117</v>
      </c>
      <c r="M200" s="50">
        <f>L200+C200</f>
        <v>177</v>
      </c>
      <c r="N200" s="204"/>
      <c r="O200" s="228"/>
      <c r="P200" s="99">
        <v>120</v>
      </c>
      <c r="Q200" s="50">
        <f>P200+C200</f>
        <v>180</v>
      </c>
      <c r="R200" s="204"/>
      <c r="S200" s="228"/>
      <c r="T200" s="99">
        <v>123</v>
      </c>
      <c r="U200" s="50">
        <f>T200+C200</f>
        <v>183</v>
      </c>
      <c r="V200" s="204"/>
      <c r="W200" s="228"/>
      <c r="X200" s="47">
        <f t="shared" si="6"/>
        <v>849</v>
      </c>
      <c r="Y200" s="107">
        <f>D200+H200+L200+P200+T200</f>
        <v>549</v>
      </c>
      <c r="Z200" s="68">
        <f>AVERAGE(E200,I200,M200,Q200,U200)</f>
        <v>169.8</v>
      </c>
      <c r="AA200" s="144">
        <f>AVERAGE(E200,I200,M200,Q200,U200)-C200</f>
        <v>109.80000000000001</v>
      </c>
      <c r="AB200" s="221"/>
    </row>
    <row r="201" spans="1:28" s="38" customFormat="1" ht="42" customHeight="1">
      <c r="A201" s="217" t="s">
        <v>109</v>
      </c>
      <c r="B201" s="218"/>
      <c r="C201" s="149">
        <f>SUM(C202:C204)</f>
        <v>178</v>
      </c>
      <c r="D201" s="62">
        <f>SUM(D202:D204)</f>
        <v>332</v>
      </c>
      <c r="E201" s="45">
        <f>SUM(E202:E204)</f>
        <v>510</v>
      </c>
      <c r="F201" s="45">
        <f>E181</f>
        <v>472</v>
      </c>
      <c r="G201" s="42" t="str">
        <f>A181</f>
        <v>MP Auto</v>
      </c>
      <c r="H201" s="62">
        <f>SUM(H202:H204)</f>
        <v>351</v>
      </c>
      <c r="I201" s="45">
        <f>SUM(I202:I204)</f>
        <v>529</v>
      </c>
      <c r="J201" s="45">
        <f>I189</f>
        <v>533</v>
      </c>
      <c r="K201" s="42" t="str">
        <f>A189</f>
        <v>Eesti Energia</v>
      </c>
      <c r="L201" s="133">
        <f>SUM(L202:L204)</f>
        <v>311</v>
      </c>
      <c r="M201" s="49">
        <f>SUM(M202:M204)</f>
        <v>489</v>
      </c>
      <c r="N201" s="45">
        <f>M197</f>
        <v>508</v>
      </c>
      <c r="O201" s="42" t="str">
        <f>A197</f>
        <v>Tapa Linna-valitsus</v>
      </c>
      <c r="P201" s="45">
        <f>SUM(P202:P204)</f>
        <v>306</v>
      </c>
      <c r="Q201" s="49">
        <f>SUM(Q202:Q204)</f>
        <v>484</v>
      </c>
      <c r="R201" s="45">
        <f>Q185</f>
        <v>0</v>
      </c>
      <c r="S201" s="42" t="str">
        <f>A185</f>
        <v>Wiru Ehitus</v>
      </c>
      <c r="T201" s="133">
        <f>SUM(T202:T204)</f>
        <v>311</v>
      </c>
      <c r="U201" s="49">
        <f>SUM(U202:U204)</f>
        <v>489</v>
      </c>
      <c r="V201" s="45">
        <f>U193</f>
        <v>598</v>
      </c>
      <c r="W201" s="42" t="str">
        <f>A193</f>
        <v>Assar Lukuauk</v>
      </c>
      <c r="X201" s="36">
        <f t="shared" si="6"/>
        <v>2501</v>
      </c>
      <c r="Y201" s="105">
        <f>SUM(Y202:Y204)</f>
        <v>1611</v>
      </c>
      <c r="Z201" s="65">
        <f>AVERAGE(Z202,Z203,Z204)</f>
        <v>166.73333333333332</v>
      </c>
      <c r="AA201" s="142">
        <f>AVERAGE(AA202,AA203,AA204)</f>
        <v>107.39999999999999</v>
      </c>
      <c r="AB201" s="219">
        <f>F202+J202+N202+R202+V202</f>
        <v>2</v>
      </c>
    </row>
    <row r="202" spans="1:28" s="38" customFormat="1" ht="15.75" customHeight="1">
      <c r="A202" s="222" t="s">
        <v>121</v>
      </c>
      <c r="B202" s="223"/>
      <c r="C202" s="150">
        <v>58</v>
      </c>
      <c r="D202" s="59">
        <v>135</v>
      </c>
      <c r="E202" s="50">
        <f>D202+C202</f>
        <v>193</v>
      </c>
      <c r="F202" s="224">
        <v>1</v>
      </c>
      <c r="G202" s="225"/>
      <c r="H202" s="97">
        <v>108</v>
      </c>
      <c r="I202" s="46">
        <f>H202+C202</f>
        <v>166</v>
      </c>
      <c r="J202" s="224">
        <v>0</v>
      </c>
      <c r="K202" s="225"/>
      <c r="L202" s="97">
        <v>104</v>
      </c>
      <c r="M202" s="50">
        <f>L202+C202</f>
        <v>162</v>
      </c>
      <c r="N202" s="224">
        <v>0</v>
      </c>
      <c r="O202" s="225"/>
      <c r="P202" s="97">
        <v>109</v>
      </c>
      <c r="Q202" s="50">
        <f>P202+C202</f>
        <v>167</v>
      </c>
      <c r="R202" s="224">
        <v>1</v>
      </c>
      <c r="S202" s="225"/>
      <c r="T202" s="97">
        <v>99</v>
      </c>
      <c r="U202" s="50">
        <f>T202+C202</f>
        <v>157</v>
      </c>
      <c r="V202" s="224">
        <v>0</v>
      </c>
      <c r="W202" s="225"/>
      <c r="X202" s="46">
        <f t="shared" si="6"/>
        <v>845</v>
      </c>
      <c r="Y202" s="106">
        <f>D202+H202+L202+P202+T202</f>
        <v>555</v>
      </c>
      <c r="Z202" s="67">
        <f>AVERAGE(E202,I202,M202,Q202,U202)</f>
        <v>169</v>
      </c>
      <c r="AA202" s="143">
        <f>AVERAGE(E202,I202,M202,Q202,U202)-C202</f>
        <v>111</v>
      </c>
      <c r="AB202" s="220"/>
    </row>
    <row r="203" spans="1:28" s="38" customFormat="1" ht="15.75" customHeight="1">
      <c r="A203" s="222" t="s">
        <v>264</v>
      </c>
      <c r="B203" s="223"/>
      <c r="C203" s="150">
        <v>60</v>
      </c>
      <c r="D203" s="59">
        <v>95</v>
      </c>
      <c r="E203" s="50">
        <f>D203+C203</f>
        <v>155</v>
      </c>
      <c r="F203" s="226"/>
      <c r="G203" s="227"/>
      <c r="H203" s="98">
        <v>104</v>
      </c>
      <c r="I203" s="46">
        <f>H203+C203</f>
        <v>164</v>
      </c>
      <c r="J203" s="226"/>
      <c r="K203" s="227"/>
      <c r="L203" s="98">
        <v>121</v>
      </c>
      <c r="M203" s="50">
        <f>L203+C203</f>
        <v>181</v>
      </c>
      <c r="N203" s="226"/>
      <c r="O203" s="227"/>
      <c r="P203" s="98">
        <v>85</v>
      </c>
      <c r="Q203" s="50">
        <f>P203+C203</f>
        <v>145</v>
      </c>
      <c r="R203" s="226"/>
      <c r="S203" s="227"/>
      <c r="T203" s="98">
        <v>105</v>
      </c>
      <c r="U203" s="50">
        <f>T203+C203</f>
        <v>165</v>
      </c>
      <c r="V203" s="226"/>
      <c r="W203" s="227"/>
      <c r="X203" s="46">
        <f t="shared" si="6"/>
        <v>810</v>
      </c>
      <c r="Y203" s="106">
        <f>D203+H203+L203+P203+T203</f>
        <v>510</v>
      </c>
      <c r="Z203" s="67">
        <f>AVERAGE(E203,I203,M203,Q203,U203)</f>
        <v>162</v>
      </c>
      <c r="AA203" s="143">
        <f>AVERAGE(E203,I203,M203,Q203,U203)-C203</f>
        <v>102</v>
      </c>
      <c r="AB203" s="220"/>
    </row>
    <row r="204" spans="1:28" s="38" customFormat="1" ht="15.75" customHeight="1" thickBot="1">
      <c r="A204" s="229" t="s">
        <v>265</v>
      </c>
      <c r="B204" s="230"/>
      <c r="C204" s="151">
        <v>60</v>
      </c>
      <c r="D204" s="60">
        <v>102</v>
      </c>
      <c r="E204" s="50">
        <f>D204+C204</f>
        <v>162</v>
      </c>
      <c r="F204" s="204"/>
      <c r="G204" s="228"/>
      <c r="H204" s="99">
        <v>139</v>
      </c>
      <c r="I204" s="46">
        <f>H204+C204</f>
        <v>199</v>
      </c>
      <c r="J204" s="204"/>
      <c r="K204" s="228"/>
      <c r="L204" s="99">
        <v>86</v>
      </c>
      <c r="M204" s="50">
        <f>L204+C204</f>
        <v>146</v>
      </c>
      <c r="N204" s="204"/>
      <c r="O204" s="228"/>
      <c r="P204" s="99">
        <v>112</v>
      </c>
      <c r="Q204" s="50">
        <f>P204+C204</f>
        <v>172</v>
      </c>
      <c r="R204" s="204"/>
      <c r="S204" s="228"/>
      <c r="T204" s="99">
        <v>107</v>
      </c>
      <c r="U204" s="50">
        <f>T204+C204</f>
        <v>167</v>
      </c>
      <c r="V204" s="204"/>
      <c r="W204" s="228"/>
      <c r="X204" s="47">
        <f t="shared" si="6"/>
        <v>846</v>
      </c>
      <c r="Y204" s="107">
        <f>D204+H204+L204+P204+T204</f>
        <v>546</v>
      </c>
      <c r="Z204" s="68">
        <f>AVERAGE(E204,I204,M204,Q204,U204)</f>
        <v>169.2</v>
      </c>
      <c r="AA204" s="144">
        <f>AVERAGE(E204,I204,M204,Q204,U204)-C204</f>
        <v>109.19999999999999</v>
      </c>
      <c r="AB204" s="221"/>
    </row>
  </sheetData>
  <mergeCells count="511">
    <mergeCell ref="A1:U3"/>
    <mergeCell ref="A4:B4"/>
    <mergeCell ref="F4:G4"/>
    <mergeCell ref="J4:K4"/>
    <mergeCell ref="N4:O4"/>
    <mergeCell ref="R4:S4"/>
    <mergeCell ref="V4:W4"/>
    <mergeCell ref="A5:B5"/>
    <mergeCell ref="F5:G5"/>
    <mergeCell ref="J5:K5"/>
    <mergeCell ref="N5:O5"/>
    <mergeCell ref="R5:S5"/>
    <mergeCell ref="V5:W5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  <mergeCell ref="A30:U32"/>
    <mergeCell ref="A33:B33"/>
    <mergeCell ref="F33:G33"/>
    <mergeCell ref="J33:K33"/>
    <mergeCell ref="N33:O33"/>
    <mergeCell ref="R33:S33"/>
    <mergeCell ref="V33:W33"/>
    <mergeCell ref="A34:B34"/>
    <mergeCell ref="F34:G34"/>
    <mergeCell ref="J34:K34"/>
    <mergeCell ref="N34:O34"/>
    <mergeCell ref="R34:S34"/>
    <mergeCell ref="V34:W34"/>
    <mergeCell ref="A35:B35"/>
    <mergeCell ref="AB35:AB38"/>
    <mergeCell ref="A36:B36"/>
    <mergeCell ref="F36:G38"/>
    <mergeCell ref="J36:K38"/>
    <mergeCell ref="N36:O38"/>
    <mergeCell ref="R36:S38"/>
    <mergeCell ref="V36:W38"/>
    <mergeCell ref="A37:B37"/>
    <mergeCell ref="A38:B38"/>
    <mergeCell ref="A39:B39"/>
    <mergeCell ref="AB39:AB42"/>
    <mergeCell ref="A40:B40"/>
    <mergeCell ref="F40:G42"/>
    <mergeCell ref="J40:K42"/>
    <mergeCell ref="N40:O42"/>
    <mergeCell ref="R40:S42"/>
    <mergeCell ref="V40:W42"/>
    <mergeCell ref="A41:B41"/>
    <mergeCell ref="A42:B42"/>
    <mergeCell ref="A43:B43"/>
    <mergeCell ref="AB43:AB46"/>
    <mergeCell ref="A44:B44"/>
    <mergeCell ref="F44:G46"/>
    <mergeCell ref="J44:K46"/>
    <mergeCell ref="N44:O46"/>
    <mergeCell ref="R44:S46"/>
    <mergeCell ref="V44:W46"/>
    <mergeCell ref="A45:B45"/>
    <mergeCell ref="A46:B46"/>
    <mergeCell ref="A47:B47"/>
    <mergeCell ref="AB47:AB50"/>
    <mergeCell ref="A48:B48"/>
    <mergeCell ref="F48:G50"/>
    <mergeCell ref="J48:K50"/>
    <mergeCell ref="N48:O50"/>
    <mergeCell ref="R48:S50"/>
    <mergeCell ref="V48:W50"/>
    <mergeCell ref="A49:B49"/>
    <mergeCell ref="A50:B50"/>
    <mergeCell ref="A51:B51"/>
    <mergeCell ref="AB51:AB54"/>
    <mergeCell ref="A52:B52"/>
    <mergeCell ref="F52:G54"/>
    <mergeCell ref="J52:K54"/>
    <mergeCell ref="N52:O54"/>
    <mergeCell ref="R52:S54"/>
    <mergeCell ref="V52:W54"/>
    <mergeCell ref="A53:B53"/>
    <mergeCell ref="A54:B54"/>
    <mergeCell ref="A55:B55"/>
    <mergeCell ref="AB55:AB58"/>
    <mergeCell ref="A56:B56"/>
    <mergeCell ref="F56:G58"/>
    <mergeCell ref="J56:K58"/>
    <mergeCell ref="N56:O58"/>
    <mergeCell ref="R56:S58"/>
    <mergeCell ref="V56:W58"/>
    <mergeCell ref="A57:B57"/>
    <mergeCell ref="A58:B58"/>
    <mergeCell ref="A60:U62"/>
    <mergeCell ref="A63:B63"/>
    <mergeCell ref="F63:G63"/>
    <mergeCell ref="J63:K63"/>
    <mergeCell ref="N63:O63"/>
    <mergeCell ref="R63:S63"/>
    <mergeCell ref="V63:W63"/>
    <mergeCell ref="A64:B64"/>
    <mergeCell ref="F64:G64"/>
    <mergeCell ref="J64:K64"/>
    <mergeCell ref="N64:O64"/>
    <mergeCell ref="R64:S64"/>
    <mergeCell ref="V64:W64"/>
    <mergeCell ref="A65:B65"/>
    <mergeCell ref="AB65:AB68"/>
    <mergeCell ref="A66:B66"/>
    <mergeCell ref="F66:G68"/>
    <mergeCell ref="J66:K68"/>
    <mergeCell ref="N66:O68"/>
    <mergeCell ref="R66:S68"/>
    <mergeCell ref="V66:W68"/>
    <mergeCell ref="A67:B67"/>
    <mergeCell ref="A68:B68"/>
    <mergeCell ref="A69:B69"/>
    <mergeCell ref="AB69:AB72"/>
    <mergeCell ref="A70:B70"/>
    <mergeCell ref="F70:G72"/>
    <mergeCell ref="J70:K72"/>
    <mergeCell ref="N70:O72"/>
    <mergeCell ref="R70:S72"/>
    <mergeCell ref="V70:W72"/>
    <mergeCell ref="A71:B71"/>
    <mergeCell ref="A72:B72"/>
    <mergeCell ref="A73:B73"/>
    <mergeCell ref="AB73:AB76"/>
    <mergeCell ref="A74:B74"/>
    <mergeCell ref="F74:G76"/>
    <mergeCell ref="J74:K76"/>
    <mergeCell ref="N74:O76"/>
    <mergeCell ref="R74:S76"/>
    <mergeCell ref="V74:W76"/>
    <mergeCell ref="A75:B75"/>
    <mergeCell ref="A76:B76"/>
    <mergeCell ref="A77:B77"/>
    <mergeCell ref="AB77:AB80"/>
    <mergeCell ref="A78:B78"/>
    <mergeCell ref="F78:G80"/>
    <mergeCell ref="J78:K80"/>
    <mergeCell ref="N78:O80"/>
    <mergeCell ref="R78:S80"/>
    <mergeCell ref="V78:W80"/>
    <mergeCell ref="A79:B79"/>
    <mergeCell ref="A80:B80"/>
    <mergeCell ref="A81:B81"/>
    <mergeCell ref="AB81:AB84"/>
    <mergeCell ref="A82:B82"/>
    <mergeCell ref="F82:G84"/>
    <mergeCell ref="J82:K84"/>
    <mergeCell ref="N82:O84"/>
    <mergeCell ref="R82:S84"/>
    <mergeCell ref="V82:W84"/>
    <mergeCell ref="A83:B83"/>
    <mergeCell ref="A84:B84"/>
    <mergeCell ref="A85:B85"/>
    <mergeCell ref="AB85:AB88"/>
    <mergeCell ref="A86:B86"/>
    <mergeCell ref="F86:G88"/>
    <mergeCell ref="J86:K88"/>
    <mergeCell ref="N86:O88"/>
    <mergeCell ref="R86:S88"/>
    <mergeCell ref="V86:W88"/>
    <mergeCell ref="A87:B87"/>
    <mergeCell ref="A88:B88"/>
    <mergeCell ref="A89:U91"/>
    <mergeCell ref="A92:B92"/>
    <mergeCell ref="F92:G92"/>
    <mergeCell ref="J92:K92"/>
    <mergeCell ref="N92:O92"/>
    <mergeCell ref="R92:S92"/>
    <mergeCell ref="V92:W92"/>
    <mergeCell ref="A93:B93"/>
    <mergeCell ref="F93:G93"/>
    <mergeCell ref="J93:K93"/>
    <mergeCell ref="N93:O93"/>
    <mergeCell ref="R93:S93"/>
    <mergeCell ref="V93:W93"/>
    <mergeCell ref="A94:B94"/>
    <mergeCell ref="AB94:AB97"/>
    <mergeCell ref="A95:B95"/>
    <mergeCell ref="F95:G97"/>
    <mergeCell ref="J95:K97"/>
    <mergeCell ref="N95:O97"/>
    <mergeCell ref="R95:S97"/>
    <mergeCell ref="V95:W97"/>
    <mergeCell ref="A96:B96"/>
    <mergeCell ref="A97:B97"/>
    <mergeCell ref="A98:B98"/>
    <mergeCell ref="AB98:AB101"/>
    <mergeCell ref="A99:B99"/>
    <mergeCell ref="F99:G101"/>
    <mergeCell ref="J99:K101"/>
    <mergeCell ref="N99:O101"/>
    <mergeCell ref="R99:S101"/>
    <mergeCell ref="V99:W101"/>
    <mergeCell ref="A100:B100"/>
    <mergeCell ref="A101:B101"/>
    <mergeCell ref="A102:B102"/>
    <mergeCell ref="AB102:AB105"/>
    <mergeCell ref="A103:B103"/>
    <mergeCell ref="F103:G105"/>
    <mergeCell ref="J103:K105"/>
    <mergeCell ref="N103:O105"/>
    <mergeCell ref="R103:S105"/>
    <mergeCell ref="V103:W105"/>
    <mergeCell ref="A104:B104"/>
    <mergeCell ref="A105:B105"/>
    <mergeCell ref="A106:B106"/>
    <mergeCell ref="AB106:AB109"/>
    <mergeCell ref="A107:B107"/>
    <mergeCell ref="F107:G109"/>
    <mergeCell ref="J107:K109"/>
    <mergeCell ref="N107:O109"/>
    <mergeCell ref="R107:S109"/>
    <mergeCell ref="V107:W109"/>
    <mergeCell ref="A108:B108"/>
    <mergeCell ref="A109:B109"/>
    <mergeCell ref="A110:B110"/>
    <mergeCell ref="AB110:AB113"/>
    <mergeCell ref="A111:B111"/>
    <mergeCell ref="F111:G113"/>
    <mergeCell ref="J111:K113"/>
    <mergeCell ref="N111:O113"/>
    <mergeCell ref="R111:S113"/>
    <mergeCell ref="V111:W113"/>
    <mergeCell ref="A112:B112"/>
    <mergeCell ref="A113:B113"/>
    <mergeCell ref="A114:B114"/>
    <mergeCell ref="AB114:AB117"/>
    <mergeCell ref="A115:B115"/>
    <mergeCell ref="F115:G117"/>
    <mergeCell ref="J115:K117"/>
    <mergeCell ref="N115:O117"/>
    <mergeCell ref="R115:S117"/>
    <mergeCell ref="V115:W117"/>
    <mergeCell ref="A116:B116"/>
    <mergeCell ref="A117:B117"/>
    <mergeCell ref="A118:U120"/>
    <mergeCell ref="A121:B121"/>
    <mergeCell ref="F121:G121"/>
    <mergeCell ref="J121:K121"/>
    <mergeCell ref="N121:O121"/>
    <mergeCell ref="R121:S121"/>
    <mergeCell ref="V121:W121"/>
    <mergeCell ref="A122:B122"/>
    <mergeCell ref="F122:G122"/>
    <mergeCell ref="J122:K122"/>
    <mergeCell ref="N122:O122"/>
    <mergeCell ref="R122:S122"/>
    <mergeCell ref="V122:W122"/>
    <mergeCell ref="A123:B123"/>
    <mergeCell ref="AB123:AB126"/>
    <mergeCell ref="A124:B124"/>
    <mergeCell ref="F124:G126"/>
    <mergeCell ref="J124:K126"/>
    <mergeCell ref="N124:O126"/>
    <mergeCell ref="R124:S126"/>
    <mergeCell ref="V124:W126"/>
    <mergeCell ref="A125:B125"/>
    <mergeCell ref="A126:B126"/>
    <mergeCell ref="A127:B127"/>
    <mergeCell ref="AB127:AB130"/>
    <mergeCell ref="A128:B128"/>
    <mergeCell ref="F128:G130"/>
    <mergeCell ref="J128:K130"/>
    <mergeCell ref="N128:O130"/>
    <mergeCell ref="R128:S130"/>
    <mergeCell ref="V128:W130"/>
    <mergeCell ref="A129:B129"/>
    <mergeCell ref="A130:B130"/>
    <mergeCell ref="A131:B131"/>
    <mergeCell ref="AB131:AB134"/>
    <mergeCell ref="A132:B132"/>
    <mergeCell ref="F132:G134"/>
    <mergeCell ref="J132:K134"/>
    <mergeCell ref="N132:O134"/>
    <mergeCell ref="R132:S134"/>
    <mergeCell ref="V132:W134"/>
    <mergeCell ref="A133:B133"/>
    <mergeCell ref="A134:B134"/>
    <mergeCell ref="A135:B135"/>
    <mergeCell ref="AB135:AB138"/>
    <mergeCell ref="A136:B136"/>
    <mergeCell ref="F136:G138"/>
    <mergeCell ref="J136:K138"/>
    <mergeCell ref="N136:O138"/>
    <mergeCell ref="R136:S138"/>
    <mergeCell ref="V136:W138"/>
    <mergeCell ref="A137:B137"/>
    <mergeCell ref="A138:B138"/>
    <mergeCell ref="A139:B139"/>
    <mergeCell ref="AB139:AB142"/>
    <mergeCell ref="A140:B140"/>
    <mergeCell ref="F140:G142"/>
    <mergeCell ref="J140:K142"/>
    <mergeCell ref="N140:O142"/>
    <mergeCell ref="R140:S142"/>
    <mergeCell ref="V140:W142"/>
    <mergeCell ref="A141:B141"/>
    <mergeCell ref="A142:B142"/>
    <mergeCell ref="A143:B143"/>
    <mergeCell ref="AB143:AB146"/>
    <mergeCell ref="A144:B144"/>
    <mergeCell ref="F144:G146"/>
    <mergeCell ref="J144:K146"/>
    <mergeCell ref="N144:O146"/>
    <mergeCell ref="R144:S146"/>
    <mergeCell ref="V144:W146"/>
    <mergeCell ref="A145:B145"/>
    <mergeCell ref="A146:B146"/>
    <mergeCell ref="A147:U149"/>
    <mergeCell ref="A150:B150"/>
    <mergeCell ref="F150:G150"/>
    <mergeCell ref="J150:K150"/>
    <mergeCell ref="N150:O150"/>
    <mergeCell ref="R150:S150"/>
    <mergeCell ref="V150:W150"/>
    <mergeCell ref="A151:B151"/>
    <mergeCell ref="F151:G151"/>
    <mergeCell ref="J151:K151"/>
    <mergeCell ref="N151:O151"/>
    <mergeCell ref="R151:S151"/>
    <mergeCell ref="V151:W151"/>
    <mergeCell ref="A152:B152"/>
    <mergeCell ref="AB152:AB155"/>
    <mergeCell ref="A153:B153"/>
    <mergeCell ref="F153:G155"/>
    <mergeCell ref="J153:K155"/>
    <mergeCell ref="N153:O155"/>
    <mergeCell ref="R153:S155"/>
    <mergeCell ref="V153:W155"/>
    <mergeCell ref="A154:B154"/>
    <mergeCell ref="A155:B155"/>
    <mergeCell ref="A156:B156"/>
    <mergeCell ref="AB156:AB159"/>
    <mergeCell ref="A157:B157"/>
    <mergeCell ref="F157:G159"/>
    <mergeCell ref="J157:K159"/>
    <mergeCell ref="N157:O159"/>
    <mergeCell ref="R157:S159"/>
    <mergeCell ref="V157:W159"/>
    <mergeCell ref="A158:B158"/>
    <mergeCell ref="A159:B159"/>
    <mergeCell ref="A160:B160"/>
    <mergeCell ref="AB160:AB163"/>
    <mergeCell ref="A161:B161"/>
    <mergeCell ref="F161:G163"/>
    <mergeCell ref="J161:K163"/>
    <mergeCell ref="N161:O163"/>
    <mergeCell ref="R161:S163"/>
    <mergeCell ref="V161:W163"/>
    <mergeCell ref="A162:B162"/>
    <mergeCell ref="A163:B163"/>
    <mergeCell ref="A164:B164"/>
    <mergeCell ref="AB164:AB167"/>
    <mergeCell ref="A165:B165"/>
    <mergeCell ref="F165:G167"/>
    <mergeCell ref="J165:K167"/>
    <mergeCell ref="N165:O167"/>
    <mergeCell ref="R165:S167"/>
    <mergeCell ref="V165:W167"/>
    <mergeCell ref="A166:B166"/>
    <mergeCell ref="A167:B167"/>
    <mergeCell ref="A168:B168"/>
    <mergeCell ref="AB168:AB171"/>
    <mergeCell ref="A169:B169"/>
    <mergeCell ref="F169:G171"/>
    <mergeCell ref="J169:K171"/>
    <mergeCell ref="N169:O171"/>
    <mergeCell ref="R169:S171"/>
    <mergeCell ref="V169:W171"/>
    <mergeCell ref="A170:B170"/>
    <mergeCell ref="A171:B171"/>
    <mergeCell ref="A172:B172"/>
    <mergeCell ref="AB172:AB175"/>
    <mergeCell ref="A173:B173"/>
    <mergeCell ref="F173:G175"/>
    <mergeCell ref="J173:K175"/>
    <mergeCell ref="N173:O175"/>
    <mergeCell ref="R173:S175"/>
    <mergeCell ref="V173:W175"/>
    <mergeCell ref="A174:B174"/>
    <mergeCell ref="A175:B175"/>
    <mergeCell ref="A176:U178"/>
    <mergeCell ref="A179:B179"/>
    <mergeCell ref="F179:G179"/>
    <mergeCell ref="J179:K179"/>
    <mergeCell ref="N179:O179"/>
    <mergeCell ref="R179:S179"/>
    <mergeCell ref="V179:W179"/>
    <mergeCell ref="A180:B180"/>
    <mergeCell ref="F180:G180"/>
    <mergeCell ref="J180:K180"/>
    <mergeCell ref="N180:O180"/>
    <mergeCell ref="R180:S180"/>
    <mergeCell ref="V180:W180"/>
    <mergeCell ref="A181:B181"/>
    <mergeCell ref="AB181:AB184"/>
    <mergeCell ref="A182:B182"/>
    <mergeCell ref="F182:G184"/>
    <mergeCell ref="J182:K184"/>
    <mergeCell ref="N182:O184"/>
    <mergeCell ref="R182:S184"/>
    <mergeCell ref="V182:W184"/>
    <mergeCell ref="A183:B183"/>
    <mergeCell ref="A184:B184"/>
    <mergeCell ref="A185:B185"/>
    <mergeCell ref="AB185:AB188"/>
    <mergeCell ref="A186:B186"/>
    <mergeCell ref="F186:G188"/>
    <mergeCell ref="J186:K188"/>
    <mergeCell ref="N186:O188"/>
    <mergeCell ref="R186:S188"/>
    <mergeCell ref="V186:W188"/>
    <mergeCell ref="A187:B187"/>
    <mergeCell ref="A188:B188"/>
    <mergeCell ref="A189:B189"/>
    <mergeCell ref="AB189:AB192"/>
    <mergeCell ref="A190:B190"/>
    <mergeCell ref="F190:G192"/>
    <mergeCell ref="J190:K192"/>
    <mergeCell ref="N190:O192"/>
    <mergeCell ref="R190:S192"/>
    <mergeCell ref="V190:W192"/>
    <mergeCell ref="A191:B191"/>
    <mergeCell ref="A192:B192"/>
    <mergeCell ref="A193:B193"/>
    <mergeCell ref="AB193:AB196"/>
    <mergeCell ref="A194:B194"/>
    <mergeCell ref="F194:G196"/>
    <mergeCell ref="J194:K196"/>
    <mergeCell ref="N194:O196"/>
    <mergeCell ref="R194:S196"/>
    <mergeCell ref="V194:W196"/>
    <mergeCell ref="A195:B195"/>
    <mergeCell ref="A196:B196"/>
    <mergeCell ref="A197:B197"/>
    <mergeCell ref="AB197:AB200"/>
    <mergeCell ref="A198:B198"/>
    <mergeCell ref="F198:G200"/>
    <mergeCell ref="J198:K200"/>
    <mergeCell ref="N198:O200"/>
    <mergeCell ref="R198:S200"/>
    <mergeCell ref="V198:W200"/>
    <mergeCell ref="A199:B199"/>
    <mergeCell ref="A200:B200"/>
    <mergeCell ref="A201:B201"/>
    <mergeCell ref="AB201:AB204"/>
    <mergeCell ref="A202:B202"/>
    <mergeCell ref="F202:G204"/>
    <mergeCell ref="J202:K204"/>
    <mergeCell ref="N202:O204"/>
    <mergeCell ref="R202:S204"/>
    <mergeCell ref="V202:W204"/>
    <mergeCell ref="A203:B203"/>
    <mergeCell ref="A204:B204"/>
  </mergeCells>
  <conditionalFormatting sqref="J198 C194:W196 F198 C190:Z192 C186:Z188 X194:X200 J185 Y198:Z200 V198 P198:Q200 R198 N198 C202:Z204 Y194:Z196 L198:M200 H198:I200 T198:U200 C23:E25 C198:E200 J169 P169:Q171 F169 L169:M171 T169:U171 X165:X171 J156 Y169:Z171 V169 C153:Z155 R169 N169 H169:I171 Y165:Z167 C182:Z184 C165:W167 C161:Z163 C157:Z159 C169:E171 J140 C132:Z134 F140 C128:Z130 C136:W138 X136:X142 J127 Y140:Z142 V140 C173:Z175 R140 N140 C124:Z126 Y136:Z138 T140:U142 P140:Q142 L140:M142 H140:I142 C140:E142 J111 L111:M113 F111 H111:I113 P111:Q113 X107:X113 J98 Y111:Z113 V111 T111:U113 R111 N111 C144:Z146 Y107:Z109 C107:W109 C103:Z105 C99:Z101 C95:Z97 C111:E113 C74:Z76 X78:X84 J69 Y82:Z84 C66:Z68 C70:Z72 C82:W84 C78:W80 Y78:Z80 C115:Z117 J52 C86:Z88 C48:W50 P52:Q54 X48:X54 J39 Y52:Z54 V52 H52:I54 R52 N52 L52:M54 Y48:Z50 C44:Z46 C40:Z42 C36:Z38 T52:U54 F52 C52:E54 J23 T23:U25 P23:Q25 C15:Z17 X19:X25 J10 Y23:Z25 V23 C7:Z9 R23 N23 C11:Z13 Y19:Z21 L23:M25 H23:I25 C56:Z58 C19:W21 F23 C27:Z29">
    <cfRule type="cellIs" priority="1" dxfId="6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4"/>
  <sheetViews>
    <sheetView zoomScale="70" zoomScaleNormal="70" workbookViewId="0" topLeftCell="A1">
      <selection activeCell="AA28" sqref="AA28"/>
    </sheetView>
  </sheetViews>
  <sheetFormatPr defaultColWidth="9.140625" defaultRowHeight="12.75"/>
  <cols>
    <col min="1" max="1" width="9.140625" style="39" customWidth="1"/>
    <col min="2" max="2" width="10.7109375" style="39" customWidth="1"/>
    <col min="3" max="3" width="5.28125" style="146" customWidth="1"/>
    <col min="4" max="4" width="5.28125" style="61" hidden="1" customWidth="1"/>
    <col min="5" max="5" width="8.28125" style="22" bestFit="1" customWidth="1"/>
    <col min="6" max="6" width="6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6.00390625" style="22" customWidth="1"/>
    <col min="11" max="11" width="8.57421875" style="22" customWidth="1"/>
    <col min="12" max="12" width="5.28125" style="83" hidden="1" customWidth="1"/>
    <col min="13" max="13" width="7.57421875" style="22" customWidth="1"/>
    <col min="14" max="14" width="7.421875" style="22" customWidth="1"/>
    <col min="15" max="15" width="8.7109375" style="22" customWidth="1"/>
    <col min="16" max="16" width="5.28125" style="83" hidden="1" customWidth="1"/>
    <col min="17" max="17" width="8.28125" style="22" customWidth="1"/>
    <col min="18" max="18" width="7.8515625" style="22" customWidth="1"/>
    <col min="19" max="19" width="9.00390625" style="22" customWidth="1"/>
    <col min="20" max="20" width="5.28125" style="83" hidden="1" customWidth="1"/>
    <col min="21" max="21" width="8.28125" style="22" customWidth="1"/>
    <col min="22" max="22" width="7.421875" style="22" customWidth="1"/>
    <col min="23" max="23" width="8.7109375" style="22" customWidth="1"/>
    <col min="24" max="24" width="10.00390625" style="22" customWidth="1"/>
    <col min="25" max="25" width="5.421875" style="83" hidden="1" customWidth="1"/>
    <col min="26" max="26" width="11.28125" style="22" customWidth="1"/>
    <col min="27" max="27" width="9.421875" style="138" customWidth="1"/>
    <col min="28" max="16384" width="9.140625" style="22" customWidth="1"/>
  </cols>
  <sheetData>
    <row r="1" spans="1:28" s="40" customFormat="1" ht="6" customHeight="1">
      <c r="A1" s="207" t="s">
        <v>329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4"/>
      <c r="W1" s="25"/>
      <c r="Y1" s="57"/>
      <c r="Z1" s="41"/>
      <c r="AA1" s="139"/>
      <c r="AB1" s="25"/>
    </row>
    <row r="2" spans="1:28" s="40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4"/>
      <c r="W2" s="25"/>
      <c r="Y2" s="57"/>
      <c r="Z2" s="41"/>
      <c r="AA2" s="139"/>
      <c r="AB2" s="25"/>
    </row>
    <row r="3" spans="1:28" s="40" customFormat="1" ht="23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5"/>
      <c r="W3" s="25"/>
      <c r="Y3" s="57"/>
      <c r="Z3" s="41"/>
      <c r="AA3" s="139"/>
      <c r="AB3" s="25"/>
    </row>
    <row r="4" spans="1:28" s="31" customFormat="1" ht="15.75" customHeight="1">
      <c r="A4" s="209" t="s">
        <v>0</v>
      </c>
      <c r="B4" s="210"/>
      <c r="C4" s="147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140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48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141" t="s">
        <v>43</v>
      </c>
      <c r="AB5" s="35" t="s">
        <v>12</v>
      </c>
    </row>
    <row r="6" spans="1:28" s="38" customFormat="1" ht="42" customHeight="1">
      <c r="A6" s="217" t="s">
        <v>66</v>
      </c>
      <c r="B6" s="218"/>
      <c r="C6" s="149">
        <f>SUM(C7:C9)</f>
        <v>72</v>
      </c>
      <c r="D6" s="62">
        <f>SUM(D7:D9)</f>
        <v>416</v>
      </c>
      <c r="E6" s="63">
        <f>SUM(E7:E9)</f>
        <v>488</v>
      </c>
      <c r="F6" s="46">
        <f>E26</f>
        <v>521</v>
      </c>
      <c r="G6" s="64" t="str">
        <f>A26</f>
        <v>Telfer Grupp</v>
      </c>
      <c r="H6" s="62">
        <f>SUM(H7:H9)</f>
        <v>496</v>
      </c>
      <c r="I6" s="49">
        <f>SUM(I7:I9)</f>
        <v>568</v>
      </c>
      <c r="J6" s="49">
        <f>I22</f>
        <v>482</v>
      </c>
      <c r="K6" s="42" t="str">
        <f>A22</f>
        <v>Latestoil</v>
      </c>
      <c r="L6" s="58">
        <f>SUM(L7:L9)</f>
        <v>399</v>
      </c>
      <c r="M6" s="45">
        <f>SUM(M7:M9)</f>
        <v>471</v>
      </c>
      <c r="N6" s="45">
        <f>M18</f>
        <v>538</v>
      </c>
      <c r="O6" s="42" t="str">
        <f>A18</f>
        <v>Wiru Auto</v>
      </c>
      <c r="P6" s="45">
        <f>SUM(P7:P9)</f>
        <v>419</v>
      </c>
      <c r="Q6" s="45">
        <f>SUM(Q7:Q9)</f>
        <v>491</v>
      </c>
      <c r="R6" s="45">
        <f>Q14</f>
        <v>448</v>
      </c>
      <c r="S6" s="42" t="str">
        <f>A14</f>
        <v>Meistrid&amp; Margarita</v>
      </c>
      <c r="T6" s="133">
        <f>SUM(T7:T9)</f>
        <v>492</v>
      </c>
      <c r="U6" s="45">
        <f>SUM(U7:U9)</f>
        <v>564</v>
      </c>
      <c r="V6" s="45">
        <f>U10</f>
        <v>550</v>
      </c>
      <c r="W6" s="42" t="str">
        <f>A10</f>
        <v>Isokuul</v>
      </c>
      <c r="X6" s="36">
        <f aca="true" t="shared" si="0" ref="X6:X29">E6+I6+M6+Q6+U6</f>
        <v>2582</v>
      </c>
      <c r="Y6" s="105">
        <f>SUM(Y7:Y9)</f>
        <v>2222</v>
      </c>
      <c r="Z6" s="37">
        <f>AVERAGE(Z7,Z8,Z9)</f>
        <v>172.13333333333333</v>
      </c>
      <c r="AA6" s="142">
        <f>AVERAGE(AA7,AA8,AA9)</f>
        <v>148.13333333333333</v>
      </c>
      <c r="AB6" s="219">
        <f>F7+J7+N7+R7+V7</f>
        <v>3</v>
      </c>
    </row>
    <row r="7" spans="1:28" s="38" customFormat="1" ht="15.75" customHeight="1">
      <c r="A7" s="222" t="s">
        <v>50</v>
      </c>
      <c r="B7" s="223"/>
      <c r="C7" s="150">
        <v>19</v>
      </c>
      <c r="D7" s="59">
        <v>120</v>
      </c>
      <c r="E7" s="50">
        <f>D7+C7</f>
        <v>139</v>
      </c>
      <c r="F7" s="224">
        <v>0</v>
      </c>
      <c r="G7" s="225"/>
      <c r="H7" s="97">
        <v>166</v>
      </c>
      <c r="I7" s="46">
        <f>+H7+C7</f>
        <v>185</v>
      </c>
      <c r="J7" s="224">
        <v>1</v>
      </c>
      <c r="K7" s="225"/>
      <c r="L7" s="97">
        <v>134</v>
      </c>
      <c r="M7" s="50">
        <f>L7+C7</f>
        <v>153</v>
      </c>
      <c r="N7" s="224">
        <v>0</v>
      </c>
      <c r="O7" s="225"/>
      <c r="P7" s="97">
        <v>142</v>
      </c>
      <c r="Q7" s="50">
        <f>P7+C7</f>
        <v>161</v>
      </c>
      <c r="R7" s="224">
        <v>1</v>
      </c>
      <c r="S7" s="225"/>
      <c r="T7" s="97">
        <v>168</v>
      </c>
      <c r="U7" s="50">
        <f>T7+C7</f>
        <v>187</v>
      </c>
      <c r="V7" s="224">
        <v>1</v>
      </c>
      <c r="W7" s="225"/>
      <c r="X7" s="46">
        <f t="shared" si="0"/>
        <v>825</v>
      </c>
      <c r="Y7" s="106">
        <f>D7+H7+L7+P7+T7</f>
        <v>730</v>
      </c>
      <c r="Z7" s="67">
        <f>AVERAGE(E7,I7,M7,Q7,U7)</f>
        <v>165</v>
      </c>
      <c r="AA7" s="143">
        <f>AVERAGE(E7,I7,M7,Q7,U7)-C7</f>
        <v>146</v>
      </c>
      <c r="AB7" s="220"/>
    </row>
    <row r="8" spans="1:28" s="38" customFormat="1" ht="15.75" customHeight="1">
      <c r="A8" s="222" t="s">
        <v>51</v>
      </c>
      <c r="B8" s="223"/>
      <c r="C8" s="150">
        <v>34</v>
      </c>
      <c r="D8" s="59">
        <v>163</v>
      </c>
      <c r="E8" s="50">
        <f>D8+C8</f>
        <v>197</v>
      </c>
      <c r="F8" s="226"/>
      <c r="G8" s="227"/>
      <c r="H8" s="98">
        <v>159</v>
      </c>
      <c r="I8" s="46">
        <f>+H8+C8</f>
        <v>193</v>
      </c>
      <c r="J8" s="226"/>
      <c r="K8" s="227"/>
      <c r="L8" s="98">
        <v>124</v>
      </c>
      <c r="M8" s="50">
        <f>L8+C8</f>
        <v>158</v>
      </c>
      <c r="N8" s="226"/>
      <c r="O8" s="227"/>
      <c r="P8" s="98">
        <v>121</v>
      </c>
      <c r="Q8" s="50">
        <f>P8+C8</f>
        <v>155</v>
      </c>
      <c r="R8" s="226"/>
      <c r="S8" s="227"/>
      <c r="T8" s="98">
        <v>155</v>
      </c>
      <c r="U8" s="50">
        <f>T8+C8</f>
        <v>189</v>
      </c>
      <c r="V8" s="226"/>
      <c r="W8" s="227"/>
      <c r="X8" s="46">
        <f t="shared" si="0"/>
        <v>892</v>
      </c>
      <c r="Y8" s="106">
        <f>D8+H8+L8+P8+T8</f>
        <v>722</v>
      </c>
      <c r="Z8" s="67">
        <f>AVERAGE(E8,I8,M8,Q8,U8)</f>
        <v>178.4</v>
      </c>
      <c r="AA8" s="143">
        <f>AVERAGE(E8,I8,M8,Q8,U8)-C8</f>
        <v>144.4</v>
      </c>
      <c r="AB8" s="220"/>
    </row>
    <row r="9" spans="1:28" s="38" customFormat="1" ht="16.5" customHeight="1" thickBot="1">
      <c r="A9" s="229" t="s">
        <v>288</v>
      </c>
      <c r="B9" s="230"/>
      <c r="C9" s="151">
        <v>19</v>
      </c>
      <c r="D9" s="60">
        <v>133</v>
      </c>
      <c r="E9" s="50">
        <f>D9+C9</f>
        <v>152</v>
      </c>
      <c r="F9" s="204"/>
      <c r="G9" s="228"/>
      <c r="H9" s="99">
        <v>171</v>
      </c>
      <c r="I9" s="46">
        <f>+H9+C9</f>
        <v>190</v>
      </c>
      <c r="J9" s="204"/>
      <c r="K9" s="228"/>
      <c r="L9" s="99">
        <v>141</v>
      </c>
      <c r="M9" s="50">
        <f>L9+C9</f>
        <v>160</v>
      </c>
      <c r="N9" s="204"/>
      <c r="O9" s="228"/>
      <c r="P9" s="99">
        <v>156</v>
      </c>
      <c r="Q9" s="50">
        <f>P9+C9</f>
        <v>175</v>
      </c>
      <c r="R9" s="204"/>
      <c r="S9" s="228"/>
      <c r="T9" s="99">
        <v>169</v>
      </c>
      <c r="U9" s="50">
        <f>T9+C9</f>
        <v>188</v>
      </c>
      <c r="V9" s="204"/>
      <c r="W9" s="228"/>
      <c r="X9" s="47">
        <f t="shared" si="0"/>
        <v>865</v>
      </c>
      <c r="Y9" s="107">
        <f>D9+H9+L9+P9+T9</f>
        <v>770</v>
      </c>
      <c r="Z9" s="68">
        <f>AVERAGE(E9,I9,M9,Q9,U9)</f>
        <v>173</v>
      </c>
      <c r="AA9" s="144">
        <f>AVERAGE(E9,I9,M9,Q9,U9)-C9</f>
        <v>154</v>
      </c>
      <c r="AB9" s="221"/>
    </row>
    <row r="10" spans="1:28" s="38" customFormat="1" ht="41.25" customHeight="1">
      <c r="A10" s="217" t="s">
        <v>132</v>
      </c>
      <c r="B10" s="218"/>
      <c r="C10" s="149">
        <f>SUM(C11:C13)</f>
        <v>80</v>
      </c>
      <c r="D10" s="62">
        <f>SUM(D11:D13)</f>
        <v>415</v>
      </c>
      <c r="E10" s="45">
        <f>SUM(E11:E13)</f>
        <v>495</v>
      </c>
      <c r="F10" s="45">
        <f>E22</f>
        <v>535</v>
      </c>
      <c r="G10" s="42" t="str">
        <f>A22</f>
        <v>Latestoil</v>
      </c>
      <c r="H10" s="62">
        <f>SUM(H11:H13)</f>
        <v>484</v>
      </c>
      <c r="I10" s="45">
        <f>SUM(I11:I13)</f>
        <v>564</v>
      </c>
      <c r="J10" s="45">
        <f>I18</f>
        <v>503</v>
      </c>
      <c r="K10" s="42" t="str">
        <f>A18</f>
        <v>Wiru Auto</v>
      </c>
      <c r="L10" s="133">
        <f>SUM(L11:L13)</f>
        <v>490</v>
      </c>
      <c r="M10" s="49">
        <f>SUM(M11:M13)</f>
        <v>570</v>
      </c>
      <c r="N10" s="45">
        <f>M14</f>
        <v>507</v>
      </c>
      <c r="O10" s="42" t="str">
        <f>A14</f>
        <v>Meistrid&amp; Margarita</v>
      </c>
      <c r="P10" s="45">
        <f>SUM(P11:P13)</f>
        <v>491</v>
      </c>
      <c r="Q10" s="49">
        <f>SUM(Q11:Q13)</f>
        <v>571</v>
      </c>
      <c r="R10" s="45">
        <f>Q26</f>
        <v>541</v>
      </c>
      <c r="S10" s="42" t="str">
        <f>A26</f>
        <v>Telfer Grupp</v>
      </c>
      <c r="T10" s="133">
        <f>SUM(T11:T13)</f>
        <v>470</v>
      </c>
      <c r="U10" s="49">
        <f>SUM(U11:U13)</f>
        <v>550</v>
      </c>
      <c r="V10" s="45">
        <f>U6</f>
        <v>564</v>
      </c>
      <c r="W10" s="42" t="str">
        <f>A6</f>
        <v>Fulltrade</v>
      </c>
      <c r="X10" s="36">
        <f t="shared" si="0"/>
        <v>2750</v>
      </c>
      <c r="Y10" s="105">
        <f>SUM(Y11:Y13)</f>
        <v>2350</v>
      </c>
      <c r="Z10" s="65">
        <f>AVERAGE(Z11,Z12,Z13)</f>
        <v>183.33333333333334</v>
      </c>
      <c r="AA10" s="142">
        <f>AVERAGE(AA11,AA12,AA13)</f>
        <v>156.66666666666666</v>
      </c>
      <c r="AB10" s="219">
        <f>F11+J11+N11+R11+V11</f>
        <v>3</v>
      </c>
    </row>
    <row r="11" spans="1:28" s="38" customFormat="1" ht="15.75" customHeight="1">
      <c r="A11" s="222" t="s">
        <v>117</v>
      </c>
      <c r="B11" s="223"/>
      <c r="C11" s="150">
        <v>35</v>
      </c>
      <c r="D11" s="59">
        <v>158</v>
      </c>
      <c r="E11" s="50">
        <f>D11+C11</f>
        <v>193</v>
      </c>
      <c r="F11" s="224">
        <v>0</v>
      </c>
      <c r="G11" s="225"/>
      <c r="H11" s="97">
        <v>159</v>
      </c>
      <c r="I11" s="46">
        <f>+H11+C11</f>
        <v>194</v>
      </c>
      <c r="J11" s="224">
        <v>1</v>
      </c>
      <c r="K11" s="225"/>
      <c r="L11" s="97">
        <v>161</v>
      </c>
      <c r="M11" s="50">
        <f>L11+C11</f>
        <v>196</v>
      </c>
      <c r="N11" s="224">
        <v>1</v>
      </c>
      <c r="O11" s="225"/>
      <c r="P11" s="97">
        <v>186</v>
      </c>
      <c r="Q11" s="50">
        <f>P11+C11</f>
        <v>221</v>
      </c>
      <c r="R11" s="224">
        <v>1</v>
      </c>
      <c r="S11" s="225"/>
      <c r="T11" s="97">
        <v>149</v>
      </c>
      <c r="U11" s="50">
        <f>T11+C11</f>
        <v>184</v>
      </c>
      <c r="V11" s="224">
        <v>0</v>
      </c>
      <c r="W11" s="225"/>
      <c r="X11" s="46">
        <f t="shared" si="0"/>
        <v>988</v>
      </c>
      <c r="Y11" s="106">
        <f>D11+H11+L11+P11+T11</f>
        <v>813</v>
      </c>
      <c r="Z11" s="67">
        <f>AVERAGE(E11,I11,M11,Q11,U11)</f>
        <v>197.6</v>
      </c>
      <c r="AA11" s="143">
        <f>AVERAGE(E11,I11,M11,Q11,U11)-C11</f>
        <v>162.6</v>
      </c>
      <c r="AB11" s="220"/>
    </row>
    <row r="12" spans="1:28" s="38" customFormat="1" ht="15.75" customHeight="1">
      <c r="A12" s="222" t="s">
        <v>115</v>
      </c>
      <c r="B12" s="223"/>
      <c r="C12" s="150">
        <v>21</v>
      </c>
      <c r="D12" s="59">
        <v>127</v>
      </c>
      <c r="E12" s="50">
        <f>D12+C12</f>
        <v>148</v>
      </c>
      <c r="F12" s="226"/>
      <c r="G12" s="227"/>
      <c r="H12" s="98">
        <v>170</v>
      </c>
      <c r="I12" s="46">
        <f>+H12+C12</f>
        <v>191</v>
      </c>
      <c r="J12" s="226"/>
      <c r="K12" s="227"/>
      <c r="L12" s="98">
        <v>149</v>
      </c>
      <c r="M12" s="50">
        <f>L12+C12</f>
        <v>170</v>
      </c>
      <c r="N12" s="226"/>
      <c r="O12" s="227"/>
      <c r="P12" s="98">
        <v>147</v>
      </c>
      <c r="Q12" s="50">
        <f>P12+C12</f>
        <v>168</v>
      </c>
      <c r="R12" s="226"/>
      <c r="S12" s="227"/>
      <c r="T12" s="98">
        <v>134</v>
      </c>
      <c r="U12" s="50">
        <f>T12+C12</f>
        <v>155</v>
      </c>
      <c r="V12" s="226"/>
      <c r="W12" s="227"/>
      <c r="X12" s="46">
        <f t="shared" si="0"/>
        <v>832</v>
      </c>
      <c r="Y12" s="106">
        <f>D12+H12+L12+P12+T12</f>
        <v>727</v>
      </c>
      <c r="Z12" s="67">
        <f>AVERAGE(E12,I12,M12,Q12,U12)</f>
        <v>166.4</v>
      </c>
      <c r="AA12" s="143">
        <f>AVERAGE(E12,I12,M12,Q12,U12)-C12</f>
        <v>145.4</v>
      </c>
      <c r="AB12" s="220"/>
    </row>
    <row r="13" spans="1:28" s="38" customFormat="1" ht="15.75" customHeight="1" thickBot="1">
      <c r="A13" s="229" t="s">
        <v>289</v>
      </c>
      <c r="B13" s="230"/>
      <c r="C13" s="151">
        <v>24</v>
      </c>
      <c r="D13" s="60">
        <v>130</v>
      </c>
      <c r="E13" s="50">
        <f>D13+C13</f>
        <v>154</v>
      </c>
      <c r="F13" s="204"/>
      <c r="G13" s="228"/>
      <c r="H13" s="99">
        <v>155</v>
      </c>
      <c r="I13" s="46">
        <f>+H13+C13</f>
        <v>179</v>
      </c>
      <c r="J13" s="204"/>
      <c r="K13" s="228"/>
      <c r="L13" s="99">
        <v>180</v>
      </c>
      <c r="M13" s="50">
        <f>L13+C13</f>
        <v>204</v>
      </c>
      <c r="N13" s="204"/>
      <c r="O13" s="228"/>
      <c r="P13" s="99">
        <v>158</v>
      </c>
      <c r="Q13" s="50">
        <f>P13+C13</f>
        <v>182</v>
      </c>
      <c r="R13" s="204"/>
      <c r="S13" s="228"/>
      <c r="T13" s="99">
        <v>187</v>
      </c>
      <c r="U13" s="50">
        <f>T13+C13</f>
        <v>211</v>
      </c>
      <c r="V13" s="204"/>
      <c r="W13" s="228"/>
      <c r="X13" s="47">
        <f t="shared" si="0"/>
        <v>930</v>
      </c>
      <c r="Y13" s="107">
        <f>D13+H13+L13+P13+T13</f>
        <v>810</v>
      </c>
      <c r="Z13" s="68">
        <f>AVERAGE(E13,I13,M13,Q13,U13)</f>
        <v>186</v>
      </c>
      <c r="AA13" s="144">
        <f>AVERAGE(E13,I13,M13,Q13,U13)-C13</f>
        <v>162</v>
      </c>
      <c r="AB13" s="221"/>
    </row>
    <row r="14" spans="1:28" s="38" customFormat="1" ht="47.25" customHeight="1">
      <c r="A14" s="217" t="s">
        <v>79</v>
      </c>
      <c r="B14" s="218"/>
      <c r="C14" s="149">
        <f>SUM(C15:C17)</f>
        <v>54</v>
      </c>
      <c r="D14" s="62">
        <f>SUM(D15:D17)</f>
        <v>437</v>
      </c>
      <c r="E14" s="45">
        <f>SUM(E15:E17)</f>
        <v>491</v>
      </c>
      <c r="F14" s="45">
        <f>E18</f>
        <v>536</v>
      </c>
      <c r="G14" s="42" t="str">
        <f>A18</f>
        <v>Wiru Auto</v>
      </c>
      <c r="H14" s="62">
        <f>SUM(H15:H17)</f>
        <v>443</v>
      </c>
      <c r="I14" s="45">
        <f>SUM(I15:I17)</f>
        <v>497</v>
      </c>
      <c r="J14" s="45">
        <f>I26</f>
        <v>560</v>
      </c>
      <c r="K14" s="42" t="str">
        <f>A26</f>
        <v>Telfer Grupp</v>
      </c>
      <c r="L14" s="133">
        <f>SUM(L15:L17)</f>
        <v>453</v>
      </c>
      <c r="M14" s="69">
        <f>SUM(M15:M17)</f>
        <v>507</v>
      </c>
      <c r="N14" s="45">
        <f>M10</f>
        <v>570</v>
      </c>
      <c r="O14" s="42" t="str">
        <f>A10</f>
        <v>Isokuul</v>
      </c>
      <c r="P14" s="45">
        <f>SUM(P15:P17)</f>
        <v>394</v>
      </c>
      <c r="Q14" s="49">
        <f>SUM(Q15:Q17)</f>
        <v>448</v>
      </c>
      <c r="R14" s="45">
        <f>Q6</f>
        <v>491</v>
      </c>
      <c r="S14" s="42" t="str">
        <f>A6</f>
        <v>Fulltrade</v>
      </c>
      <c r="T14" s="133">
        <f>SUM(T15:T17)</f>
        <v>474</v>
      </c>
      <c r="U14" s="69">
        <f>SUM(U15:U17)</f>
        <v>528</v>
      </c>
      <c r="V14" s="45">
        <f>U22</f>
        <v>517</v>
      </c>
      <c r="W14" s="42" t="str">
        <f>A22</f>
        <v>Latestoil</v>
      </c>
      <c r="X14" s="36">
        <f t="shared" si="0"/>
        <v>2471</v>
      </c>
      <c r="Y14" s="105">
        <f>SUM(Y15:Y17)</f>
        <v>2201</v>
      </c>
      <c r="Z14" s="65">
        <f>AVERAGE(Z15,Z16,Z17)</f>
        <v>164.73333333333332</v>
      </c>
      <c r="AA14" s="142">
        <f>AVERAGE(AA15,AA16,AA17)</f>
        <v>146.73333333333332</v>
      </c>
      <c r="AB14" s="219">
        <f>F15+J15+N15+R15+V15</f>
        <v>1</v>
      </c>
    </row>
    <row r="15" spans="1:28" s="38" customFormat="1" ht="15.75" customHeight="1">
      <c r="A15" s="222" t="s">
        <v>87</v>
      </c>
      <c r="B15" s="223"/>
      <c r="C15" s="150">
        <v>17</v>
      </c>
      <c r="D15" s="59">
        <v>168</v>
      </c>
      <c r="E15" s="50">
        <f>D15+C15</f>
        <v>185</v>
      </c>
      <c r="F15" s="224">
        <v>0</v>
      </c>
      <c r="G15" s="225"/>
      <c r="H15" s="97">
        <v>152</v>
      </c>
      <c r="I15" s="46">
        <f>+H15+C15</f>
        <v>169</v>
      </c>
      <c r="J15" s="224">
        <v>0</v>
      </c>
      <c r="K15" s="225"/>
      <c r="L15" s="97">
        <v>135</v>
      </c>
      <c r="M15" s="50">
        <f>L15+C15</f>
        <v>152</v>
      </c>
      <c r="N15" s="224">
        <v>0</v>
      </c>
      <c r="O15" s="225"/>
      <c r="P15" s="97">
        <v>138</v>
      </c>
      <c r="Q15" s="50">
        <f>P15+C15</f>
        <v>155</v>
      </c>
      <c r="R15" s="224">
        <v>0</v>
      </c>
      <c r="S15" s="225"/>
      <c r="T15" s="97">
        <v>139</v>
      </c>
      <c r="U15" s="50">
        <f>T15+C15</f>
        <v>156</v>
      </c>
      <c r="V15" s="224">
        <v>1</v>
      </c>
      <c r="W15" s="225"/>
      <c r="X15" s="46">
        <f t="shared" si="0"/>
        <v>817</v>
      </c>
      <c r="Y15" s="106">
        <f>D15+H15+L15+P15+T15</f>
        <v>732</v>
      </c>
      <c r="Z15" s="67">
        <f>AVERAGE(E15,I15,M15,Q15,U15)</f>
        <v>163.4</v>
      </c>
      <c r="AA15" s="143">
        <f>AVERAGE(E15,I15,M15,Q15,U15)-C15</f>
        <v>146.4</v>
      </c>
      <c r="AB15" s="220"/>
    </row>
    <row r="16" spans="1:28" s="38" customFormat="1" ht="15.75" customHeight="1">
      <c r="A16" s="222" t="s">
        <v>293</v>
      </c>
      <c r="B16" s="223"/>
      <c r="C16" s="150">
        <v>22</v>
      </c>
      <c r="D16" s="59">
        <v>132</v>
      </c>
      <c r="E16" s="50">
        <f>D16+C16</f>
        <v>154</v>
      </c>
      <c r="F16" s="226"/>
      <c r="G16" s="227"/>
      <c r="H16" s="98">
        <v>123</v>
      </c>
      <c r="I16" s="46">
        <f>+H16+C16</f>
        <v>145</v>
      </c>
      <c r="J16" s="226"/>
      <c r="K16" s="227"/>
      <c r="L16" s="98">
        <v>145</v>
      </c>
      <c r="M16" s="50">
        <f>L16+C16</f>
        <v>167</v>
      </c>
      <c r="N16" s="226"/>
      <c r="O16" s="227"/>
      <c r="P16" s="98">
        <v>134</v>
      </c>
      <c r="Q16" s="50">
        <f>P16+C16</f>
        <v>156</v>
      </c>
      <c r="R16" s="226"/>
      <c r="S16" s="227"/>
      <c r="T16" s="98">
        <v>134</v>
      </c>
      <c r="U16" s="50">
        <f>T16+C16</f>
        <v>156</v>
      </c>
      <c r="V16" s="226"/>
      <c r="W16" s="227"/>
      <c r="X16" s="46">
        <f t="shared" si="0"/>
        <v>778</v>
      </c>
      <c r="Y16" s="106">
        <f>D16+H16+L16+P16+T16</f>
        <v>668</v>
      </c>
      <c r="Z16" s="67">
        <f>AVERAGE(E16,I16,M16,Q16,U16)</f>
        <v>155.6</v>
      </c>
      <c r="AA16" s="143">
        <f>AVERAGE(E16,I16,M16,Q16,U16)-C16</f>
        <v>133.6</v>
      </c>
      <c r="AB16" s="220"/>
    </row>
    <row r="17" spans="1:28" s="38" customFormat="1" ht="15.75" customHeight="1" thickBot="1">
      <c r="A17" s="229" t="s">
        <v>89</v>
      </c>
      <c r="B17" s="230"/>
      <c r="C17" s="151">
        <v>15</v>
      </c>
      <c r="D17" s="60">
        <v>137</v>
      </c>
      <c r="E17" s="50">
        <f>D17+C17</f>
        <v>152</v>
      </c>
      <c r="F17" s="204"/>
      <c r="G17" s="228"/>
      <c r="H17" s="99">
        <v>168</v>
      </c>
      <c r="I17" s="46">
        <f>+H17+C17</f>
        <v>183</v>
      </c>
      <c r="J17" s="204"/>
      <c r="K17" s="228"/>
      <c r="L17" s="99">
        <v>173</v>
      </c>
      <c r="M17" s="50">
        <f>L17+C17</f>
        <v>188</v>
      </c>
      <c r="N17" s="204"/>
      <c r="O17" s="228"/>
      <c r="P17" s="99">
        <v>122</v>
      </c>
      <c r="Q17" s="50">
        <f>P17+C17</f>
        <v>137</v>
      </c>
      <c r="R17" s="204"/>
      <c r="S17" s="228"/>
      <c r="T17" s="99">
        <v>201</v>
      </c>
      <c r="U17" s="50">
        <f>T17+C17</f>
        <v>216</v>
      </c>
      <c r="V17" s="204"/>
      <c r="W17" s="228"/>
      <c r="X17" s="47">
        <f t="shared" si="0"/>
        <v>876</v>
      </c>
      <c r="Y17" s="107">
        <f>D17+H17+L17+P17+T17</f>
        <v>801</v>
      </c>
      <c r="Z17" s="68">
        <f>AVERAGE(E17,I17,M17,Q17,U17)</f>
        <v>175.2</v>
      </c>
      <c r="AA17" s="144">
        <f>AVERAGE(E17,I17,M17,Q17,U17)-C17</f>
        <v>160.2</v>
      </c>
      <c r="AB17" s="221"/>
    </row>
    <row r="18" spans="1:28" s="38" customFormat="1" ht="39" customHeight="1">
      <c r="A18" s="217" t="s">
        <v>162</v>
      </c>
      <c r="B18" s="218"/>
      <c r="C18" s="149">
        <f>SUM(C19:C21)</f>
        <v>131</v>
      </c>
      <c r="D18" s="62">
        <f>SUM(D19:D21)</f>
        <v>405</v>
      </c>
      <c r="E18" s="45">
        <f>SUM(E19:E21)</f>
        <v>536</v>
      </c>
      <c r="F18" s="45">
        <f>E14</f>
        <v>491</v>
      </c>
      <c r="G18" s="42" t="str">
        <f>A14</f>
        <v>Meistrid&amp; Margarita</v>
      </c>
      <c r="H18" s="62">
        <f>SUM(H19:H21)</f>
        <v>372</v>
      </c>
      <c r="I18" s="45">
        <f>SUM(I19:I21)</f>
        <v>503</v>
      </c>
      <c r="J18" s="45">
        <f>I10</f>
        <v>564</v>
      </c>
      <c r="K18" s="42" t="str">
        <f>A10</f>
        <v>Isokuul</v>
      </c>
      <c r="L18" s="133">
        <f>SUM(L19:L21)</f>
        <v>407</v>
      </c>
      <c r="M18" s="49">
        <f>SUM(M19:M21)</f>
        <v>538</v>
      </c>
      <c r="N18" s="45">
        <f>M6</f>
        <v>471</v>
      </c>
      <c r="O18" s="42" t="str">
        <f>A6</f>
        <v>Fulltrade</v>
      </c>
      <c r="P18" s="45">
        <f>SUM(P19:P21)</f>
        <v>408</v>
      </c>
      <c r="Q18" s="49">
        <f>SUM(Q19:Q21)</f>
        <v>539</v>
      </c>
      <c r="R18" s="45">
        <f>Q22</f>
        <v>550</v>
      </c>
      <c r="S18" s="42" t="str">
        <f>A22</f>
        <v>Latestoil</v>
      </c>
      <c r="T18" s="133">
        <f>SUM(T19:T21)</f>
        <v>351</v>
      </c>
      <c r="U18" s="49">
        <f>SUM(U19:U21)</f>
        <v>482</v>
      </c>
      <c r="V18" s="45">
        <f>U26</f>
        <v>545</v>
      </c>
      <c r="W18" s="42" t="str">
        <f>A26</f>
        <v>Telfer Grupp</v>
      </c>
      <c r="X18" s="36">
        <f t="shared" si="0"/>
        <v>2598</v>
      </c>
      <c r="Y18" s="105">
        <f>SUM(Y19:Y21)</f>
        <v>1943</v>
      </c>
      <c r="Z18" s="65">
        <f>AVERAGE(Z19,Z20,Z21)</f>
        <v>173.20000000000002</v>
      </c>
      <c r="AA18" s="142">
        <f>AVERAGE(AA19,AA20,AA21)</f>
        <v>129.53333333333333</v>
      </c>
      <c r="AB18" s="219">
        <f>F19+J19+N19+R19+V19</f>
        <v>2</v>
      </c>
    </row>
    <row r="19" spans="1:28" s="38" customFormat="1" ht="15.75" customHeight="1">
      <c r="A19" s="222" t="s">
        <v>153</v>
      </c>
      <c r="B19" s="223"/>
      <c r="C19" s="150">
        <v>34</v>
      </c>
      <c r="D19" s="59">
        <v>142</v>
      </c>
      <c r="E19" s="50">
        <f>D19+C19</f>
        <v>176</v>
      </c>
      <c r="F19" s="224">
        <v>1</v>
      </c>
      <c r="G19" s="225"/>
      <c r="H19" s="97">
        <v>104</v>
      </c>
      <c r="I19" s="46">
        <f>+H19+C19</f>
        <v>138</v>
      </c>
      <c r="J19" s="224">
        <v>0</v>
      </c>
      <c r="K19" s="225"/>
      <c r="L19" s="97">
        <v>131</v>
      </c>
      <c r="M19" s="50">
        <f>L19+C19</f>
        <v>165</v>
      </c>
      <c r="N19" s="224">
        <v>1</v>
      </c>
      <c r="O19" s="225"/>
      <c r="P19" s="97">
        <v>144</v>
      </c>
      <c r="Q19" s="50">
        <f>P19+C19</f>
        <v>178</v>
      </c>
      <c r="R19" s="224">
        <v>0</v>
      </c>
      <c r="S19" s="225"/>
      <c r="T19" s="97">
        <v>105</v>
      </c>
      <c r="U19" s="50">
        <f>T19+C19</f>
        <v>139</v>
      </c>
      <c r="V19" s="224">
        <v>0</v>
      </c>
      <c r="W19" s="225"/>
      <c r="X19" s="46">
        <f t="shared" si="0"/>
        <v>796</v>
      </c>
      <c r="Y19" s="106">
        <f>D19+H19+L19+P19+T19</f>
        <v>626</v>
      </c>
      <c r="Z19" s="67">
        <f>AVERAGE(E19,I19,M19,Q19,U19)</f>
        <v>159.2</v>
      </c>
      <c r="AA19" s="143">
        <f>AVERAGE(E19,I19,M19,Q19,U19)-C19</f>
        <v>125.19999999999999</v>
      </c>
      <c r="AB19" s="220"/>
    </row>
    <row r="20" spans="1:28" s="38" customFormat="1" ht="15.75" customHeight="1">
      <c r="A20" s="222" t="s">
        <v>154</v>
      </c>
      <c r="B20" s="223"/>
      <c r="C20" s="150">
        <v>54</v>
      </c>
      <c r="D20" s="59">
        <v>122</v>
      </c>
      <c r="E20" s="50">
        <f>D20+C20</f>
        <v>176</v>
      </c>
      <c r="F20" s="226"/>
      <c r="G20" s="227"/>
      <c r="H20" s="98">
        <v>132</v>
      </c>
      <c r="I20" s="46">
        <f>+H20+C20</f>
        <v>186</v>
      </c>
      <c r="J20" s="226"/>
      <c r="K20" s="227"/>
      <c r="L20" s="98">
        <v>149</v>
      </c>
      <c r="M20" s="50">
        <f>L20+C20</f>
        <v>203</v>
      </c>
      <c r="N20" s="226"/>
      <c r="O20" s="227"/>
      <c r="P20" s="98">
        <v>106</v>
      </c>
      <c r="Q20" s="50">
        <f>P20+C20</f>
        <v>160</v>
      </c>
      <c r="R20" s="226"/>
      <c r="S20" s="227"/>
      <c r="T20" s="98">
        <v>131</v>
      </c>
      <c r="U20" s="50">
        <f>T20+C20</f>
        <v>185</v>
      </c>
      <c r="V20" s="226"/>
      <c r="W20" s="227"/>
      <c r="X20" s="46">
        <f t="shared" si="0"/>
        <v>910</v>
      </c>
      <c r="Y20" s="106">
        <f>D20+H20+L20+P20+T20</f>
        <v>640</v>
      </c>
      <c r="Z20" s="67">
        <f>AVERAGE(E20,I20,M20,Q20,U20)</f>
        <v>182</v>
      </c>
      <c r="AA20" s="143">
        <f>AVERAGE(E20,I20,M20,Q20,U20)-C20</f>
        <v>128</v>
      </c>
      <c r="AB20" s="220"/>
    </row>
    <row r="21" spans="1:29" s="38" customFormat="1" ht="15.75" customHeight="1" thickBot="1">
      <c r="A21" s="229" t="s">
        <v>155</v>
      </c>
      <c r="B21" s="230"/>
      <c r="C21" s="151">
        <v>43</v>
      </c>
      <c r="D21" s="60">
        <v>141</v>
      </c>
      <c r="E21" s="50">
        <f>D21+C21</f>
        <v>184</v>
      </c>
      <c r="F21" s="204"/>
      <c r="G21" s="228"/>
      <c r="H21" s="99">
        <v>136</v>
      </c>
      <c r="I21" s="46">
        <f>+H21+C21</f>
        <v>179</v>
      </c>
      <c r="J21" s="204"/>
      <c r="K21" s="228"/>
      <c r="L21" s="99">
        <v>127</v>
      </c>
      <c r="M21" s="50">
        <f>L21+C21</f>
        <v>170</v>
      </c>
      <c r="N21" s="204"/>
      <c r="O21" s="228"/>
      <c r="P21" s="99">
        <v>158</v>
      </c>
      <c r="Q21" s="50">
        <f>P21+C21</f>
        <v>201</v>
      </c>
      <c r="R21" s="204"/>
      <c r="S21" s="228"/>
      <c r="T21" s="99">
        <v>115</v>
      </c>
      <c r="U21" s="50">
        <f>T21+C21</f>
        <v>158</v>
      </c>
      <c r="V21" s="204"/>
      <c r="W21" s="228"/>
      <c r="X21" s="47">
        <f t="shared" si="0"/>
        <v>892</v>
      </c>
      <c r="Y21" s="107">
        <f>D21+H21+L21+P21+T21</f>
        <v>677</v>
      </c>
      <c r="Z21" s="68">
        <f>AVERAGE(E21,I21,M21,Q21,U21)</f>
        <v>178.4</v>
      </c>
      <c r="AA21" s="144">
        <f>AVERAGE(E21,I21,M21,Q21,U21)-C21</f>
        <v>135.4</v>
      </c>
      <c r="AB21" s="221"/>
      <c r="AC21" s="44"/>
    </row>
    <row r="22" spans="1:28" s="38" customFormat="1" ht="53.25" customHeight="1">
      <c r="A22" s="217" t="s">
        <v>69</v>
      </c>
      <c r="B22" s="218"/>
      <c r="C22" s="149">
        <f>SUM(C23:C25)</f>
        <v>37</v>
      </c>
      <c r="D22" s="62">
        <f>SUM(D23:D25)</f>
        <v>498</v>
      </c>
      <c r="E22" s="45">
        <f>SUM(E23:E25)</f>
        <v>535</v>
      </c>
      <c r="F22" s="45">
        <f>E10</f>
        <v>495</v>
      </c>
      <c r="G22" s="42" t="str">
        <f>A10</f>
        <v>Isokuul</v>
      </c>
      <c r="H22" s="62">
        <f>SUM(H23:H25)</f>
        <v>445</v>
      </c>
      <c r="I22" s="45">
        <f>SUM(I23:I25)</f>
        <v>482</v>
      </c>
      <c r="J22" s="45">
        <f>I6</f>
        <v>568</v>
      </c>
      <c r="K22" s="42" t="str">
        <f>A6</f>
        <v>Fulltrade</v>
      </c>
      <c r="L22" s="133">
        <f>SUM(L23:L25)</f>
        <v>454</v>
      </c>
      <c r="M22" s="69">
        <f>SUM(M23:M25)</f>
        <v>491</v>
      </c>
      <c r="N22" s="45">
        <f>M26</f>
        <v>527</v>
      </c>
      <c r="O22" s="42" t="str">
        <f>A26</f>
        <v>Telfer Grupp</v>
      </c>
      <c r="P22" s="45">
        <f>SUM(P23:P25)</f>
        <v>513</v>
      </c>
      <c r="Q22" s="69">
        <f>SUM(Q23:Q25)</f>
        <v>550</v>
      </c>
      <c r="R22" s="45">
        <f>Q18</f>
        <v>539</v>
      </c>
      <c r="S22" s="42" t="str">
        <f>A18</f>
        <v>Wiru Auto</v>
      </c>
      <c r="T22" s="133">
        <f>SUM(T23:T25)</f>
        <v>480</v>
      </c>
      <c r="U22" s="69">
        <f>SUM(U23:U25)</f>
        <v>517</v>
      </c>
      <c r="V22" s="45">
        <f>U14</f>
        <v>528</v>
      </c>
      <c r="W22" s="42" t="str">
        <f>A14</f>
        <v>Meistrid&amp; Margarita</v>
      </c>
      <c r="X22" s="36">
        <f t="shared" si="0"/>
        <v>2575</v>
      </c>
      <c r="Y22" s="105">
        <f>SUM(Y23:Y25)</f>
        <v>2390</v>
      </c>
      <c r="Z22" s="65">
        <f>AVERAGE(Z23,Z24,Z25)</f>
        <v>171.66666666666666</v>
      </c>
      <c r="AA22" s="142">
        <f>AVERAGE(AA23,AA24,AA25)</f>
        <v>159.33333333333334</v>
      </c>
      <c r="AB22" s="219">
        <f>F23+J23+N23+R23+V23</f>
        <v>2</v>
      </c>
    </row>
    <row r="23" spans="1:28" s="38" customFormat="1" ht="15.75" customHeight="1">
      <c r="A23" s="222" t="s">
        <v>27</v>
      </c>
      <c r="B23" s="223"/>
      <c r="C23" s="150">
        <v>17</v>
      </c>
      <c r="D23" s="59">
        <v>199</v>
      </c>
      <c r="E23" s="50">
        <f>D23+C23</f>
        <v>216</v>
      </c>
      <c r="F23" s="224">
        <v>1</v>
      </c>
      <c r="G23" s="225"/>
      <c r="H23" s="97">
        <v>120</v>
      </c>
      <c r="I23" s="46">
        <f>+H23+C23</f>
        <v>137</v>
      </c>
      <c r="J23" s="224">
        <v>0</v>
      </c>
      <c r="K23" s="225"/>
      <c r="L23" s="97">
        <v>148</v>
      </c>
      <c r="M23" s="50">
        <f>L23+C23</f>
        <v>165</v>
      </c>
      <c r="N23" s="224">
        <v>0</v>
      </c>
      <c r="O23" s="225"/>
      <c r="P23" s="97">
        <v>133</v>
      </c>
      <c r="Q23" s="50">
        <f>P23+C23</f>
        <v>150</v>
      </c>
      <c r="R23" s="224">
        <v>1</v>
      </c>
      <c r="S23" s="225"/>
      <c r="T23" s="97">
        <v>182</v>
      </c>
      <c r="U23" s="50">
        <f>T23+C23</f>
        <v>199</v>
      </c>
      <c r="V23" s="224">
        <v>0</v>
      </c>
      <c r="W23" s="225"/>
      <c r="X23" s="46">
        <f t="shared" si="0"/>
        <v>867</v>
      </c>
      <c r="Y23" s="106">
        <f>D23+H23+L23+P23+T23</f>
        <v>782</v>
      </c>
      <c r="Z23" s="67">
        <f>AVERAGE(E23,I23,M23,Q23,U23)</f>
        <v>173.4</v>
      </c>
      <c r="AA23" s="143">
        <f>AVERAGE(E23,I23,M23,Q23,U23)-C23</f>
        <v>156.4</v>
      </c>
      <c r="AB23" s="220"/>
    </row>
    <row r="24" spans="1:28" s="38" customFormat="1" ht="15.75" customHeight="1">
      <c r="A24" s="222" t="s">
        <v>29</v>
      </c>
      <c r="B24" s="223"/>
      <c r="C24" s="150">
        <v>18</v>
      </c>
      <c r="D24" s="59">
        <v>154</v>
      </c>
      <c r="E24" s="50">
        <f>D24+C24</f>
        <v>172</v>
      </c>
      <c r="F24" s="226"/>
      <c r="G24" s="227"/>
      <c r="H24" s="98">
        <v>141</v>
      </c>
      <c r="I24" s="46">
        <f>+H24+C24</f>
        <v>159</v>
      </c>
      <c r="J24" s="226"/>
      <c r="K24" s="227"/>
      <c r="L24" s="98">
        <v>123</v>
      </c>
      <c r="M24" s="50">
        <f>L24+C24</f>
        <v>141</v>
      </c>
      <c r="N24" s="226"/>
      <c r="O24" s="227"/>
      <c r="P24" s="98">
        <v>165</v>
      </c>
      <c r="Q24" s="50">
        <f>P24+C24</f>
        <v>183</v>
      </c>
      <c r="R24" s="226"/>
      <c r="S24" s="227"/>
      <c r="T24" s="98">
        <v>148</v>
      </c>
      <c r="U24" s="50">
        <f>T24+C24</f>
        <v>166</v>
      </c>
      <c r="V24" s="226"/>
      <c r="W24" s="227"/>
      <c r="X24" s="46">
        <f t="shared" si="0"/>
        <v>821</v>
      </c>
      <c r="Y24" s="106">
        <f>D24+H24+L24+P24+T24</f>
        <v>731</v>
      </c>
      <c r="Z24" s="67">
        <f>AVERAGE(E24,I24,M24,Q24,U24)</f>
        <v>164.2</v>
      </c>
      <c r="AA24" s="143">
        <f>AVERAGE(E24,I24,M24,Q24,U24)-C24</f>
        <v>146.2</v>
      </c>
      <c r="AB24" s="220"/>
    </row>
    <row r="25" spans="1:28" s="38" customFormat="1" ht="15.75" customHeight="1" thickBot="1">
      <c r="A25" s="229" t="s">
        <v>26</v>
      </c>
      <c r="B25" s="230"/>
      <c r="C25" s="151">
        <v>2</v>
      </c>
      <c r="D25" s="60">
        <v>145</v>
      </c>
      <c r="E25" s="50">
        <f>D25+C25</f>
        <v>147</v>
      </c>
      <c r="F25" s="204"/>
      <c r="G25" s="228"/>
      <c r="H25" s="99">
        <v>184</v>
      </c>
      <c r="I25" s="46">
        <f>+H25+C25</f>
        <v>186</v>
      </c>
      <c r="J25" s="204"/>
      <c r="K25" s="228"/>
      <c r="L25" s="99">
        <v>183</v>
      </c>
      <c r="M25" s="50">
        <f>L25+C25</f>
        <v>185</v>
      </c>
      <c r="N25" s="204"/>
      <c r="O25" s="228"/>
      <c r="P25" s="99">
        <v>215</v>
      </c>
      <c r="Q25" s="50">
        <f>P25+C25</f>
        <v>217</v>
      </c>
      <c r="R25" s="204"/>
      <c r="S25" s="228"/>
      <c r="T25" s="99">
        <v>150</v>
      </c>
      <c r="U25" s="50">
        <f>T25+C25</f>
        <v>152</v>
      </c>
      <c r="V25" s="204"/>
      <c r="W25" s="228"/>
      <c r="X25" s="47">
        <f t="shared" si="0"/>
        <v>887</v>
      </c>
      <c r="Y25" s="107">
        <f>D25+H25+L25+P25+T25</f>
        <v>877</v>
      </c>
      <c r="Z25" s="68">
        <f>AVERAGE(E25,I25,M25,Q25,U25)</f>
        <v>177.4</v>
      </c>
      <c r="AA25" s="144">
        <f>AVERAGE(E25,I25,M25,Q25,U25)-C25</f>
        <v>175.4</v>
      </c>
      <c r="AB25" s="221"/>
    </row>
    <row r="26" spans="1:28" s="38" customFormat="1" ht="42" customHeight="1">
      <c r="A26" s="217" t="s">
        <v>257</v>
      </c>
      <c r="B26" s="218"/>
      <c r="C26" s="149">
        <f>SUM(C27:C29)</f>
        <v>101</v>
      </c>
      <c r="D26" s="62">
        <f>SUM(D27:D29)</f>
        <v>420</v>
      </c>
      <c r="E26" s="45">
        <f>SUM(E27:E29)</f>
        <v>521</v>
      </c>
      <c r="F26" s="45">
        <f>E6</f>
        <v>488</v>
      </c>
      <c r="G26" s="42" t="str">
        <f>A6</f>
        <v>Fulltrade</v>
      </c>
      <c r="H26" s="62">
        <f>SUM(H27:H29)</f>
        <v>459</v>
      </c>
      <c r="I26" s="45">
        <f>SUM(I27:I29)</f>
        <v>560</v>
      </c>
      <c r="J26" s="45">
        <f>I14</f>
        <v>497</v>
      </c>
      <c r="K26" s="42" t="str">
        <f>A14</f>
        <v>Meistrid&amp; Margarita</v>
      </c>
      <c r="L26" s="133">
        <f>SUM(L27:L29)</f>
        <v>426</v>
      </c>
      <c r="M26" s="49">
        <f>SUM(M27:M29)</f>
        <v>527</v>
      </c>
      <c r="N26" s="45">
        <f>M22</f>
        <v>491</v>
      </c>
      <c r="O26" s="42" t="str">
        <f>A22</f>
        <v>Latestoil</v>
      </c>
      <c r="P26" s="45">
        <f>SUM(P27:P29)</f>
        <v>440</v>
      </c>
      <c r="Q26" s="49">
        <f>SUM(Q27:Q29)</f>
        <v>541</v>
      </c>
      <c r="R26" s="45">
        <f>Q10</f>
        <v>571</v>
      </c>
      <c r="S26" s="42" t="str">
        <f>A10</f>
        <v>Isokuul</v>
      </c>
      <c r="T26" s="133">
        <f>SUM(T27:T29)</f>
        <v>444</v>
      </c>
      <c r="U26" s="49">
        <f>SUM(U27:U29)</f>
        <v>545</v>
      </c>
      <c r="V26" s="45">
        <f>U18</f>
        <v>482</v>
      </c>
      <c r="W26" s="42" t="str">
        <f>A18</f>
        <v>Wiru Auto</v>
      </c>
      <c r="X26" s="36">
        <f t="shared" si="0"/>
        <v>2694</v>
      </c>
      <c r="Y26" s="105">
        <f>SUM(Y27:Y29)</f>
        <v>2189</v>
      </c>
      <c r="Z26" s="65">
        <f>AVERAGE(Z27,Z28,Z29)</f>
        <v>179.6</v>
      </c>
      <c r="AA26" s="142">
        <f>AVERAGE(AA27,AA28,AA29)</f>
        <v>145.9333333333333</v>
      </c>
      <c r="AB26" s="219">
        <f>F27+J27+N27+R27+V27</f>
        <v>4</v>
      </c>
    </row>
    <row r="27" spans="1:28" s="38" customFormat="1" ht="15.75" customHeight="1">
      <c r="A27" s="222" t="s">
        <v>246</v>
      </c>
      <c r="B27" s="223"/>
      <c r="C27" s="150">
        <v>21</v>
      </c>
      <c r="D27" s="59">
        <v>176</v>
      </c>
      <c r="E27" s="50">
        <f>D27+C27</f>
        <v>197</v>
      </c>
      <c r="F27" s="224">
        <v>1</v>
      </c>
      <c r="G27" s="225"/>
      <c r="H27" s="97">
        <v>180</v>
      </c>
      <c r="I27" s="46">
        <f>+H27+C27</f>
        <v>201</v>
      </c>
      <c r="J27" s="224">
        <v>1</v>
      </c>
      <c r="K27" s="225"/>
      <c r="L27" s="97">
        <v>160</v>
      </c>
      <c r="M27" s="50">
        <f>L27+C27</f>
        <v>181</v>
      </c>
      <c r="N27" s="224">
        <v>1</v>
      </c>
      <c r="O27" s="225"/>
      <c r="P27" s="97">
        <v>157</v>
      </c>
      <c r="Q27" s="50">
        <f>P27+C27</f>
        <v>178</v>
      </c>
      <c r="R27" s="224">
        <v>0</v>
      </c>
      <c r="S27" s="225"/>
      <c r="T27" s="97">
        <v>148</v>
      </c>
      <c r="U27" s="50">
        <f>T27+C27</f>
        <v>169</v>
      </c>
      <c r="V27" s="224">
        <v>1</v>
      </c>
      <c r="W27" s="225"/>
      <c r="X27" s="46">
        <f t="shared" si="0"/>
        <v>926</v>
      </c>
      <c r="Y27" s="106">
        <f>D27+H27+L27+P27+T27</f>
        <v>821</v>
      </c>
      <c r="Z27" s="67">
        <f>AVERAGE(E27,I27,M27,Q27,U27)</f>
        <v>185.2</v>
      </c>
      <c r="AA27" s="143">
        <f>AVERAGE(E27,I27,M27,Q27,U27)-C27</f>
        <v>164.2</v>
      </c>
      <c r="AB27" s="220"/>
    </row>
    <row r="28" spans="1:28" s="38" customFormat="1" ht="15.75" customHeight="1">
      <c r="A28" s="222" t="s">
        <v>330</v>
      </c>
      <c r="B28" s="223"/>
      <c r="C28" s="150">
        <v>60</v>
      </c>
      <c r="D28" s="59">
        <v>119</v>
      </c>
      <c r="E28" s="50">
        <f>D28+C28</f>
        <v>179</v>
      </c>
      <c r="F28" s="226"/>
      <c r="G28" s="227"/>
      <c r="H28" s="98">
        <v>119</v>
      </c>
      <c r="I28" s="46">
        <f>+H28+C28</f>
        <v>179</v>
      </c>
      <c r="J28" s="226"/>
      <c r="K28" s="227"/>
      <c r="L28" s="98">
        <v>103</v>
      </c>
      <c r="M28" s="50">
        <f>L28+C28</f>
        <v>163</v>
      </c>
      <c r="N28" s="226"/>
      <c r="O28" s="227"/>
      <c r="P28" s="98">
        <v>104</v>
      </c>
      <c r="Q28" s="50">
        <f>P28+C28</f>
        <v>164</v>
      </c>
      <c r="R28" s="226"/>
      <c r="S28" s="227"/>
      <c r="T28" s="98">
        <v>116</v>
      </c>
      <c r="U28" s="50">
        <f>T28+C28</f>
        <v>176</v>
      </c>
      <c r="V28" s="226"/>
      <c r="W28" s="227"/>
      <c r="X28" s="46">
        <f t="shared" si="0"/>
        <v>861</v>
      </c>
      <c r="Y28" s="106">
        <f>D28+H28+L28+P28+T28</f>
        <v>561</v>
      </c>
      <c r="Z28" s="67">
        <f>AVERAGE(E28,I28,M28,Q28,U28)</f>
        <v>172.2</v>
      </c>
      <c r="AA28" s="143">
        <f>AVERAGE(E28,I28,M28,Q28,U28)-C28</f>
        <v>112.19999999999999</v>
      </c>
      <c r="AB28" s="220"/>
    </row>
    <row r="29" spans="1:28" s="38" customFormat="1" ht="15.75" customHeight="1" thickBot="1">
      <c r="A29" s="229" t="s">
        <v>248</v>
      </c>
      <c r="B29" s="230"/>
      <c r="C29" s="151">
        <v>20</v>
      </c>
      <c r="D29" s="60">
        <v>125</v>
      </c>
      <c r="E29" s="50">
        <f>D29+C29</f>
        <v>145</v>
      </c>
      <c r="F29" s="204"/>
      <c r="G29" s="228"/>
      <c r="H29" s="99">
        <v>160</v>
      </c>
      <c r="I29" s="46">
        <f>+H29+C29</f>
        <v>180</v>
      </c>
      <c r="J29" s="204"/>
      <c r="K29" s="228"/>
      <c r="L29" s="99">
        <v>163</v>
      </c>
      <c r="M29" s="50">
        <f>L29+C29</f>
        <v>183</v>
      </c>
      <c r="N29" s="204"/>
      <c r="O29" s="228"/>
      <c r="P29" s="99">
        <v>179</v>
      </c>
      <c r="Q29" s="50">
        <f>P29+C29</f>
        <v>199</v>
      </c>
      <c r="R29" s="204"/>
      <c r="S29" s="228"/>
      <c r="T29" s="99">
        <v>180</v>
      </c>
      <c r="U29" s="50">
        <f>T29+C29</f>
        <v>200</v>
      </c>
      <c r="V29" s="204"/>
      <c r="W29" s="228"/>
      <c r="X29" s="47">
        <f t="shared" si="0"/>
        <v>907</v>
      </c>
      <c r="Y29" s="107">
        <f>D29+H29+L29+P29+T29</f>
        <v>807</v>
      </c>
      <c r="Z29" s="68">
        <f>AVERAGE(E29,I29,M29,Q29,U29)</f>
        <v>181.4</v>
      </c>
      <c r="AA29" s="144">
        <f>AVERAGE(E29,I29,M29,Q29,U29)-C29</f>
        <v>161.4</v>
      </c>
      <c r="AB29" s="221"/>
    </row>
    <row r="30" spans="1:28" s="40" customFormat="1" ht="15.75" customHeight="1">
      <c r="A30" s="207" t="s">
        <v>328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4"/>
      <c r="W30" s="25"/>
      <c r="Y30" s="57"/>
      <c r="Z30" s="41"/>
      <c r="AA30" s="139"/>
      <c r="AB30" s="25"/>
    </row>
    <row r="31" spans="1:28" s="40" customFormat="1" ht="6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4"/>
      <c r="W31" s="25"/>
      <c r="Y31" s="57"/>
      <c r="Z31" s="41"/>
      <c r="AA31" s="139"/>
      <c r="AB31" s="25"/>
    </row>
    <row r="32" spans="1:28" s="40" customFormat="1" ht="23.2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5"/>
      <c r="W32" s="25"/>
      <c r="Y32" s="57"/>
      <c r="Z32" s="41"/>
      <c r="AA32" s="139"/>
      <c r="AB32" s="25"/>
    </row>
    <row r="33" spans="1:28" s="31" customFormat="1" ht="15.75" customHeight="1">
      <c r="A33" s="209" t="s">
        <v>0</v>
      </c>
      <c r="B33" s="210"/>
      <c r="C33" s="147" t="s">
        <v>39</v>
      </c>
      <c r="D33" s="55"/>
      <c r="E33" s="27" t="s">
        <v>1</v>
      </c>
      <c r="F33" s="211" t="s">
        <v>2</v>
      </c>
      <c r="G33" s="212"/>
      <c r="H33" s="94"/>
      <c r="I33" s="27" t="s">
        <v>3</v>
      </c>
      <c r="J33" s="211" t="s">
        <v>2</v>
      </c>
      <c r="K33" s="212"/>
      <c r="L33" s="94"/>
      <c r="M33" s="27" t="s">
        <v>4</v>
      </c>
      <c r="N33" s="211" t="s">
        <v>2</v>
      </c>
      <c r="O33" s="212"/>
      <c r="P33" s="94"/>
      <c r="Q33" s="27" t="s">
        <v>5</v>
      </c>
      <c r="R33" s="211" t="s">
        <v>2</v>
      </c>
      <c r="S33" s="212"/>
      <c r="T33" s="94"/>
      <c r="U33" s="27" t="s">
        <v>6</v>
      </c>
      <c r="V33" s="211" t="s">
        <v>2</v>
      </c>
      <c r="W33" s="212"/>
      <c r="X33" s="28" t="s">
        <v>7</v>
      </c>
      <c r="Y33" s="104"/>
      <c r="Z33" s="29" t="s">
        <v>40</v>
      </c>
      <c r="AA33" s="140" t="s">
        <v>42</v>
      </c>
      <c r="AB33" s="30" t="s">
        <v>7</v>
      </c>
    </row>
    <row r="34" spans="1:28" s="31" customFormat="1" ht="15.75" customHeight="1" thickBot="1">
      <c r="A34" s="213" t="s">
        <v>9</v>
      </c>
      <c r="B34" s="214"/>
      <c r="C34" s="148"/>
      <c r="D34" s="56"/>
      <c r="E34" s="32" t="s">
        <v>10</v>
      </c>
      <c r="F34" s="211" t="s">
        <v>11</v>
      </c>
      <c r="G34" s="212"/>
      <c r="H34" s="95"/>
      <c r="I34" s="32" t="s">
        <v>10</v>
      </c>
      <c r="J34" s="215" t="s">
        <v>11</v>
      </c>
      <c r="K34" s="216"/>
      <c r="L34" s="95"/>
      <c r="M34" s="32" t="s">
        <v>10</v>
      </c>
      <c r="N34" s="215" t="s">
        <v>11</v>
      </c>
      <c r="O34" s="216"/>
      <c r="P34" s="95"/>
      <c r="Q34" s="32" t="s">
        <v>10</v>
      </c>
      <c r="R34" s="215" t="s">
        <v>11</v>
      </c>
      <c r="S34" s="216"/>
      <c r="T34" s="95"/>
      <c r="U34" s="32" t="s">
        <v>10</v>
      </c>
      <c r="V34" s="215" t="s">
        <v>11</v>
      </c>
      <c r="W34" s="216"/>
      <c r="X34" s="33" t="s">
        <v>10</v>
      </c>
      <c r="Y34" s="134" t="s">
        <v>287</v>
      </c>
      <c r="Z34" s="34" t="s">
        <v>41</v>
      </c>
      <c r="AA34" s="141" t="s">
        <v>43</v>
      </c>
      <c r="AB34" s="35" t="s">
        <v>12</v>
      </c>
    </row>
    <row r="35" spans="1:28" s="38" customFormat="1" ht="42" customHeight="1">
      <c r="A35" s="217" t="s">
        <v>282</v>
      </c>
      <c r="B35" s="218"/>
      <c r="C35" s="149">
        <f>SUM(C36:C38)</f>
        <v>123</v>
      </c>
      <c r="D35" s="62">
        <f>SUM(D36:D38)</f>
        <v>386</v>
      </c>
      <c r="E35" s="63">
        <f>SUM(E36:E38)</f>
        <v>509</v>
      </c>
      <c r="F35" s="46">
        <f>E55</f>
        <v>511</v>
      </c>
      <c r="G35" s="64" t="str">
        <f>A55</f>
        <v>NOOBEL</v>
      </c>
      <c r="H35" s="62">
        <f>SUM(H36:H38)</f>
        <v>312</v>
      </c>
      <c r="I35" s="49">
        <f>SUM(I36:I38)</f>
        <v>435</v>
      </c>
      <c r="J35" s="49">
        <f>I51</f>
        <v>526</v>
      </c>
      <c r="K35" s="42" t="str">
        <f>A51</f>
        <v>LATER</v>
      </c>
      <c r="L35" s="58">
        <f>SUM(L36:L38)</f>
        <v>354</v>
      </c>
      <c r="M35" s="45">
        <f>SUM(M36:M38)</f>
        <v>477</v>
      </c>
      <c r="N35" s="45">
        <f>M47</f>
        <v>507</v>
      </c>
      <c r="O35" s="42" t="str">
        <f>A47</f>
        <v>SADO</v>
      </c>
      <c r="P35" s="45">
        <f>SUM(P36:P38)</f>
        <v>459</v>
      </c>
      <c r="Q35" s="45">
        <f>SUM(Q36:Q38)</f>
        <v>582</v>
      </c>
      <c r="R35" s="45">
        <f>Q43</f>
        <v>569</v>
      </c>
      <c r="S35" s="42" t="str">
        <f>A43</f>
        <v>VÄRSKA VESI</v>
      </c>
      <c r="T35" s="133">
        <f>SUM(T36:T38)</f>
        <v>439</v>
      </c>
      <c r="U35" s="45">
        <f>SUM(U36:U38)</f>
        <v>562</v>
      </c>
      <c r="V35" s="45">
        <f>U39</f>
        <v>584</v>
      </c>
      <c r="W35" s="42" t="str">
        <f>A39</f>
        <v>VERX</v>
      </c>
      <c r="X35" s="36">
        <f aca="true" t="shared" si="1" ref="X35:X58">E35+I35+M35+Q35+U35</f>
        <v>2565</v>
      </c>
      <c r="Y35" s="105">
        <f>SUM(Y36:Y38)</f>
        <v>1950</v>
      </c>
      <c r="Z35" s="37">
        <f>AVERAGE(Z36,Z37,Z38)</f>
        <v>171</v>
      </c>
      <c r="AA35" s="142">
        <f>AVERAGE(AA36,AA37,AA38)</f>
        <v>130</v>
      </c>
      <c r="AB35" s="219">
        <f>F36+J36+N36+R36+V36</f>
        <v>1</v>
      </c>
    </row>
    <row r="36" spans="1:28" s="38" customFormat="1" ht="15.75" customHeight="1">
      <c r="A36" s="222" t="s">
        <v>147</v>
      </c>
      <c r="B36" s="223"/>
      <c r="C36" s="150">
        <v>29</v>
      </c>
      <c r="D36" s="59">
        <v>129</v>
      </c>
      <c r="E36" s="50">
        <f>C36+D36</f>
        <v>158</v>
      </c>
      <c r="F36" s="224">
        <v>0</v>
      </c>
      <c r="G36" s="225"/>
      <c r="H36" s="97">
        <v>124</v>
      </c>
      <c r="I36" s="46">
        <f>H36+C36</f>
        <v>153</v>
      </c>
      <c r="J36" s="224">
        <v>0</v>
      </c>
      <c r="K36" s="225"/>
      <c r="L36" s="97">
        <v>130</v>
      </c>
      <c r="M36" s="50">
        <f>L36+C36</f>
        <v>159</v>
      </c>
      <c r="N36" s="224">
        <v>0</v>
      </c>
      <c r="O36" s="225"/>
      <c r="P36" s="97">
        <v>153</v>
      </c>
      <c r="Q36" s="50">
        <f>P36+C36</f>
        <v>182</v>
      </c>
      <c r="R36" s="224">
        <v>1</v>
      </c>
      <c r="S36" s="225"/>
      <c r="T36" s="97">
        <v>175</v>
      </c>
      <c r="U36" s="50">
        <f>T36+C36</f>
        <v>204</v>
      </c>
      <c r="V36" s="224">
        <v>0</v>
      </c>
      <c r="W36" s="225"/>
      <c r="X36" s="46">
        <f t="shared" si="1"/>
        <v>856</v>
      </c>
      <c r="Y36" s="106">
        <f>D36+H36+L36+P36+T36</f>
        <v>711</v>
      </c>
      <c r="Z36" s="67">
        <f>AVERAGE(E36,I36,M36,Q36,U36)</f>
        <v>171.2</v>
      </c>
      <c r="AA36" s="143">
        <f>AVERAGE(E36,I36,M36,Q36,U36)-C36</f>
        <v>142.2</v>
      </c>
      <c r="AB36" s="220"/>
    </row>
    <row r="37" spans="1:28" s="38" customFormat="1" ht="15.75" customHeight="1">
      <c r="A37" s="222" t="s">
        <v>310</v>
      </c>
      <c r="B37" s="223"/>
      <c r="C37" s="150">
        <v>55</v>
      </c>
      <c r="D37" s="59">
        <v>144</v>
      </c>
      <c r="E37" s="50">
        <f>C37+D37</f>
        <v>199</v>
      </c>
      <c r="F37" s="226"/>
      <c r="G37" s="227"/>
      <c r="H37" s="98">
        <v>87</v>
      </c>
      <c r="I37" s="46">
        <f>H37+C37</f>
        <v>142</v>
      </c>
      <c r="J37" s="226"/>
      <c r="K37" s="227"/>
      <c r="L37" s="98">
        <v>99</v>
      </c>
      <c r="M37" s="50">
        <f>L37+C37</f>
        <v>154</v>
      </c>
      <c r="N37" s="226"/>
      <c r="O37" s="227"/>
      <c r="P37" s="98">
        <v>138</v>
      </c>
      <c r="Q37" s="50">
        <f>P37+C37</f>
        <v>193</v>
      </c>
      <c r="R37" s="226"/>
      <c r="S37" s="227"/>
      <c r="T37" s="98">
        <v>117</v>
      </c>
      <c r="U37" s="50">
        <f>T37+C37</f>
        <v>172</v>
      </c>
      <c r="V37" s="226"/>
      <c r="W37" s="227"/>
      <c r="X37" s="46">
        <f t="shared" si="1"/>
        <v>860</v>
      </c>
      <c r="Y37" s="106">
        <f>D37+H37+L37+P37+T37</f>
        <v>585</v>
      </c>
      <c r="Z37" s="67">
        <f>AVERAGE(E37,I37,M37,Q37,U37)</f>
        <v>172</v>
      </c>
      <c r="AA37" s="143">
        <f>AVERAGE(E37,I37,M37,Q37,U37)-C37</f>
        <v>117</v>
      </c>
      <c r="AB37" s="220"/>
    </row>
    <row r="38" spans="1:28" s="38" customFormat="1" ht="16.5" customHeight="1" thickBot="1">
      <c r="A38" s="229" t="s">
        <v>149</v>
      </c>
      <c r="B38" s="230"/>
      <c r="C38" s="151">
        <v>39</v>
      </c>
      <c r="D38" s="60">
        <v>113</v>
      </c>
      <c r="E38" s="50">
        <f>C38+D38</f>
        <v>152</v>
      </c>
      <c r="F38" s="204"/>
      <c r="G38" s="228"/>
      <c r="H38" s="99">
        <v>101</v>
      </c>
      <c r="I38" s="46">
        <f>H38+C38</f>
        <v>140</v>
      </c>
      <c r="J38" s="204"/>
      <c r="K38" s="228"/>
      <c r="L38" s="99">
        <v>125</v>
      </c>
      <c r="M38" s="50">
        <f>L38+C38</f>
        <v>164</v>
      </c>
      <c r="N38" s="204"/>
      <c r="O38" s="228"/>
      <c r="P38" s="99">
        <v>168</v>
      </c>
      <c r="Q38" s="50">
        <f>P38+C38</f>
        <v>207</v>
      </c>
      <c r="R38" s="204"/>
      <c r="S38" s="228"/>
      <c r="T38" s="99">
        <v>147</v>
      </c>
      <c r="U38" s="50">
        <f>T38+C38</f>
        <v>186</v>
      </c>
      <c r="V38" s="204"/>
      <c r="W38" s="228"/>
      <c r="X38" s="47">
        <f t="shared" si="1"/>
        <v>849</v>
      </c>
      <c r="Y38" s="107">
        <f>D38+H38+L38+P38+T38</f>
        <v>654</v>
      </c>
      <c r="Z38" s="68">
        <f>AVERAGE(E38,I38,M38,Q38,U38)</f>
        <v>169.8</v>
      </c>
      <c r="AA38" s="144">
        <f>AVERAGE(E38,I38,M38,Q38,U38)-C38</f>
        <v>130.8</v>
      </c>
      <c r="AB38" s="221"/>
    </row>
    <row r="39" spans="1:28" s="38" customFormat="1" ht="41.25" customHeight="1">
      <c r="A39" s="217" t="s">
        <v>105</v>
      </c>
      <c r="B39" s="218"/>
      <c r="C39" s="149">
        <f>SUM(C40:C42)</f>
        <v>90</v>
      </c>
      <c r="D39" s="62">
        <f>SUM(D40:D42)</f>
        <v>481</v>
      </c>
      <c r="E39" s="45">
        <f>SUM(E40:E42)</f>
        <v>571</v>
      </c>
      <c r="F39" s="45">
        <f>E51</f>
        <v>567</v>
      </c>
      <c r="G39" s="42" t="str">
        <f>A51</f>
        <v>LATER</v>
      </c>
      <c r="H39" s="62">
        <f>SUM(H40:H42)</f>
        <v>510</v>
      </c>
      <c r="I39" s="45">
        <f>SUM(I40:I42)</f>
        <v>600</v>
      </c>
      <c r="J39" s="45">
        <f>I47</f>
        <v>461</v>
      </c>
      <c r="K39" s="42" t="str">
        <f>A47</f>
        <v>SADO</v>
      </c>
      <c r="L39" s="133">
        <f>SUM(L40:L42)</f>
        <v>442</v>
      </c>
      <c r="M39" s="49">
        <f>SUM(M40:M42)</f>
        <v>532</v>
      </c>
      <c r="N39" s="45">
        <f>M43</f>
        <v>506</v>
      </c>
      <c r="O39" s="42" t="str">
        <f>A43</f>
        <v>VÄRSKA VESI</v>
      </c>
      <c r="P39" s="45">
        <f>SUM(P40:P42)</f>
        <v>433</v>
      </c>
      <c r="Q39" s="49">
        <f>SUM(Q40:Q42)</f>
        <v>523</v>
      </c>
      <c r="R39" s="45">
        <f>Q55</f>
        <v>613</v>
      </c>
      <c r="S39" s="42" t="str">
        <f>A55</f>
        <v>NOOBEL</v>
      </c>
      <c r="T39" s="133">
        <f>SUM(T40:T42)</f>
        <v>494</v>
      </c>
      <c r="U39" s="49">
        <f>SUM(U40:U42)</f>
        <v>584</v>
      </c>
      <c r="V39" s="45">
        <f>U35</f>
        <v>562</v>
      </c>
      <c r="W39" s="42" t="str">
        <f>A35</f>
        <v>Holst/ Malmberg</v>
      </c>
      <c r="X39" s="36">
        <f t="shared" si="1"/>
        <v>2810</v>
      </c>
      <c r="Y39" s="105">
        <f>SUM(Y40:Y42)</f>
        <v>2360</v>
      </c>
      <c r="Z39" s="65">
        <f>AVERAGE(Z40,Z41,Z42)</f>
        <v>187.33333333333334</v>
      </c>
      <c r="AA39" s="142">
        <f>AVERAGE(AA40,AA41,AA42)</f>
        <v>157.33333333333334</v>
      </c>
      <c r="AB39" s="219">
        <f>F40+J40+N40+R40+V40</f>
        <v>4</v>
      </c>
    </row>
    <row r="40" spans="1:28" s="38" customFormat="1" ht="15.75" customHeight="1">
      <c r="A40" s="222" t="s">
        <v>112</v>
      </c>
      <c r="B40" s="223"/>
      <c r="C40" s="150">
        <v>29</v>
      </c>
      <c r="D40" s="59">
        <v>162</v>
      </c>
      <c r="E40" s="50">
        <f>C40+D40</f>
        <v>191</v>
      </c>
      <c r="F40" s="224">
        <v>1</v>
      </c>
      <c r="G40" s="225"/>
      <c r="H40" s="97">
        <v>170</v>
      </c>
      <c r="I40" s="46">
        <f>H40+C40</f>
        <v>199</v>
      </c>
      <c r="J40" s="224">
        <v>1</v>
      </c>
      <c r="K40" s="225"/>
      <c r="L40" s="97">
        <v>165</v>
      </c>
      <c r="M40" s="50">
        <f>L40+C40</f>
        <v>194</v>
      </c>
      <c r="N40" s="224">
        <v>1</v>
      </c>
      <c r="O40" s="225"/>
      <c r="P40" s="97">
        <v>115</v>
      </c>
      <c r="Q40" s="50">
        <f>P40+C40</f>
        <v>144</v>
      </c>
      <c r="R40" s="224">
        <v>0</v>
      </c>
      <c r="S40" s="225"/>
      <c r="T40" s="97">
        <v>159</v>
      </c>
      <c r="U40" s="50">
        <f>T40+C40</f>
        <v>188</v>
      </c>
      <c r="V40" s="224">
        <v>1</v>
      </c>
      <c r="W40" s="225"/>
      <c r="X40" s="46">
        <f t="shared" si="1"/>
        <v>916</v>
      </c>
      <c r="Y40" s="106">
        <f>D40+H40+L40+P40+T40</f>
        <v>771</v>
      </c>
      <c r="Z40" s="67">
        <f>AVERAGE(E40,I40,M40,Q40,U40)</f>
        <v>183.2</v>
      </c>
      <c r="AA40" s="143">
        <f>AVERAGE(E40,I40,M40,Q40,U40)-C40</f>
        <v>154.2</v>
      </c>
      <c r="AB40" s="220"/>
    </row>
    <row r="41" spans="1:28" s="38" customFormat="1" ht="15.75" customHeight="1">
      <c r="A41" s="222" t="s">
        <v>113</v>
      </c>
      <c r="B41" s="223"/>
      <c r="C41" s="150">
        <v>31</v>
      </c>
      <c r="D41" s="59">
        <v>158</v>
      </c>
      <c r="E41" s="50">
        <f>C41+D41</f>
        <v>189</v>
      </c>
      <c r="F41" s="226"/>
      <c r="G41" s="227"/>
      <c r="H41" s="98">
        <v>182</v>
      </c>
      <c r="I41" s="46">
        <f>H41+C41</f>
        <v>213</v>
      </c>
      <c r="J41" s="226"/>
      <c r="K41" s="227"/>
      <c r="L41" s="98">
        <v>130</v>
      </c>
      <c r="M41" s="50">
        <f>L41+C41</f>
        <v>161</v>
      </c>
      <c r="N41" s="226"/>
      <c r="O41" s="227"/>
      <c r="P41" s="98">
        <v>159</v>
      </c>
      <c r="Q41" s="50">
        <f>P41+C41</f>
        <v>190</v>
      </c>
      <c r="R41" s="226"/>
      <c r="S41" s="227"/>
      <c r="T41" s="98">
        <v>203</v>
      </c>
      <c r="U41" s="50">
        <f>T41+C41</f>
        <v>234</v>
      </c>
      <c r="V41" s="226"/>
      <c r="W41" s="227"/>
      <c r="X41" s="46">
        <f t="shared" si="1"/>
        <v>987</v>
      </c>
      <c r="Y41" s="106">
        <f>D41+H41+L41+P41+T41</f>
        <v>832</v>
      </c>
      <c r="Z41" s="67">
        <f>AVERAGE(E41,I41,M41,Q41,U41)</f>
        <v>197.4</v>
      </c>
      <c r="AA41" s="143">
        <f>AVERAGE(E41,I41,M41,Q41,U41)-C41</f>
        <v>166.4</v>
      </c>
      <c r="AB41" s="220"/>
    </row>
    <row r="42" spans="1:28" s="38" customFormat="1" ht="15.75" customHeight="1" thickBot="1">
      <c r="A42" s="229" t="s">
        <v>114</v>
      </c>
      <c r="B42" s="230"/>
      <c r="C42" s="151">
        <v>30</v>
      </c>
      <c r="D42" s="60">
        <v>161</v>
      </c>
      <c r="E42" s="50">
        <f>C42+D42</f>
        <v>191</v>
      </c>
      <c r="F42" s="204"/>
      <c r="G42" s="228"/>
      <c r="H42" s="99">
        <v>158</v>
      </c>
      <c r="I42" s="46">
        <f>H42+C42</f>
        <v>188</v>
      </c>
      <c r="J42" s="204"/>
      <c r="K42" s="228"/>
      <c r="L42" s="99">
        <v>147</v>
      </c>
      <c r="M42" s="50">
        <f>L42+C42</f>
        <v>177</v>
      </c>
      <c r="N42" s="204"/>
      <c r="O42" s="228"/>
      <c r="P42" s="99">
        <v>159</v>
      </c>
      <c r="Q42" s="50">
        <f>P42+C42</f>
        <v>189</v>
      </c>
      <c r="R42" s="204"/>
      <c r="S42" s="228"/>
      <c r="T42" s="99">
        <v>132</v>
      </c>
      <c r="U42" s="50">
        <f>T42+C42</f>
        <v>162</v>
      </c>
      <c r="V42" s="204"/>
      <c r="W42" s="228"/>
      <c r="X42" s="47">
        <f t="shared" si="1"/>
        <v>907</v>
      </c>
      <c r="Y42" s="107">
        <f>D42+H42+L42+P42+T42</f>
        <v>757</v>
      </c>
      <c r="Z42" s="68">
        <f>AVERAGE(E42,I42,M42,Q42,U42)</f>
        <v>181.4</v>
      </c>
      <c r="AA42" s="144">
        <f>AVERAGE(E42,I42,M42,Q42,U42)-C42</f>
        <v>151.4</v>
      </c>
      <c r="AB42" s="221"/>
    </row>
    <row r="43" spans="1:28" s="38" customFormat="1" ht="47.25" customHeight="1">
      <c r="A43" s="217" t="s">
        <v>192</v>
      </c>
      <c r="B43" s="218"/>
      <c r="C43" s="149">
        <f>SUM(C44:C46)</f>
        <v>76</v>
      </c>
      <c r="D43" s="62">
        <f>SUM(D44:D46)</f>
        <v>374</v>
      </c>
      <c r="E43" s="45">
        <f>SUM(E44:E46)</f>
        <v>450</v>
      </c>
      <c r="F43" s="45">
        <f>E47</f>
        <v>553</v>
      </c>
      <c r="G43" s="42" t="str">
        <f>A47</f>
        <v>SADO</v>
      </c>
      <c r="H43" s="62">
        <f>SUM(H44:H46)</f>
        <v>432</v>
      </c>
      <c r="I43" s="45">
        <f>SUM(I44:I46)</f>
        <v>508</v>
      </c>
      <c r="J43" s="45">
        <f>I55</f>
        <v>541</v>
      </c>
      <c r="K43" s="42" t="str">
        <f>A55</f>
        <v>NOOBEL</v>
      </c>
      <c r="L43" s="133">
        <f>SUM(L44:L46)</f>
        <v>430</v>
      </c>
      <c r="M43" s="69">
        <f>SUM(M44:M46)</f>
        <v>506</v>
      </c>
      <c r="N43" s="45">
        <f>M39</f>
        <v>532</v>
      </c>
      <c r="O43" s="42" t="str">
        <f>A39</f>
        <v>VERX</v>
      </c>
      <c r="P43" s="45">
        <f>SUM(P44:P46)</f>
        <v>493</v>
      </c>
      <c r="Q43" s="49">
        <f>SUM(Q44:Q46)</f>
        <v>569</v>
      </c>
      <c r="R43" s="45">
        <f>Q35</f>
        <v>582</v>
      </c>
      <c r="S43" s="42" t="str">
        <f>A35</f>
        <v>Holst/ Malmberg</v>
      </c>
      <c r="T43" s="133">
        <f>SUM(T44:T46)</f>
        <v>430</v>
      </c>
      <c r="U43" s="69">
        <f>SUM(U44:U46)</f>
        <v>506</v>
      </c>
      <c r="V43" s="45">
        <f>U51</f>
        <v>569</v>
      </c>
      <c r="W43" s="42" t="str">
        <f>A51</f>
        <v>LATER</v>
      </c>
      <c r="X43" s="36">
        <f t="shared" si="1"/>
        <v>2539</v>
      </c>
      <c r="Y43" s="105">
        <f>SUM(Y44:Y46)</f>
        <v>2159</v>
      </c>
      <c r="Z43" s="65">
        <f>AVERAGE(Z44,Z45,Z46)</f>
        <v>169.26666666666665</v>
      </c>
      <c r="AA43" s="142">
        <f>AVERAGE(AA44,AA45,AA46)</f>
        <v>143.9333333333333</v>
      </c>
      <c r="AB43" s="219">
        <f>F44+J44+N44+R44+V44</f>
        <v>0</v>
      </c>
    </row>
    <row r="44" spans="1:28" s="38" customFormat="1" ht="15.75" customHeight="1">
      <c r="A44" s="222" t="s">
        <v>176</v>
      </c>
      <c r="B44" s="223"/>
      <c r="C44" s="150">
        <v>23</v>
      </c>
      <c r="D44" s="59">
        <v>126</v>
      </c>
      <c r="E44" s="50">
        <f>C44+D44</f>
        <v>149</v>
      </c>
      <c r="F44" s="224">
        <v>0</v>
      </c>
      <c r="G44" s="225"/>
      <c r="H44" s="97">
        <v>155</v>
      </c>
      <c r="I44" s="46">
        <f>H44+C44</f>
        <v>178</v>
      </c>
      <c r="J44" s="224">
        <v>0</v>
      </c>
      <c r="K44" s="225"/>
      <c r="L44" s="97">
        <v>132</v>
      </c>
      <c r="M44" s="50">
        <f>L44+C44</f>
        <v>155</v>
      </c>
      <c r="N44" s="224">
        <v>0</v>
      </c>
      <c r="O44" s="225"/>
      <c r="P44" s="97">
        <v>157</v>
      </c>
      <c r="Q44" s="50">
        <f>P44+C44</f>
        <v>180</v>
      </c>
      <c r="R44" s="224">
        <v>0</v>
      </c>
      <c r="S44" s="225"/>
      <c r="T44" s="97">
        <v>168</v>
      </c>
      <c r="U44" s="50">
        <f>T44+C44</f>
        <v>191</v>
      </c>
      <c r="V44" s="224">
        <v>0</v>
      </c>
      <c r="W44" s="225"/>
      <c r="X44" s="46">
        <f t="shared" si="1"/>
        <v>853</v>
      </c>
      <c r="Y44" s="106">
        <f>D44+H44+L44+P44+T44</f>
        <v>738</v>
      </c>
      <c r="Z44" s="67">
        <f>AVERAGE(E44,I44,M44,Q44,U44)</f>
        <v>170.6</v>
      </c>
      <c r="AA44" s="143">
        <f>AVERAGE(E44,I44,M44,Q44,U44)-C44</f>
        <v>147.6</v>
      </c>
      <c r="AB44" s="220"/>
    </row>
    <row r="45" spans="1:28" s="38" customFormat="1" ht="15.75" customHeight="1">
      <c r="A45" s="222" t="s">
        <v>177</v>
      </c>
      <c r="B45" s="223"/>
      <c r="C45" s="150">
        <v>31</v>
      </c>
      <c r="D45" s="59">
        <v>130</v>
      </c>
      <c r="E45" s="50">
        <f>C45+D45</f>
        <v>161</v>
      </c>
      <c r="F45" s="226"/>
      <c r="G45" s="227"/>
      <c r="H45" s="98">
        <v>144</v>
      </c>
      <c r="I45" s="46">
        <f>H45+C45</f>
        <v>175</v>
      </c>
      <c r="J45" s="226"/>
      <c r="K45" s="227"/>
      <c r="L45" s="98">
        <v>159</v>
      </c>
      <c r="M45" s="50">
        <f>L45+C45</f>
        <v>190</v>
      </c>
      <c r="N45" s="226"/>
      <c r="O45" s="227"/>
      <c r="P45" s="98">
        <v>157</v>
      </c>
      <c r="Q45" s="50">
        <f>P45+C45</f>
        <v>188</v>
      </c>
      <c r="R45" s="226"/>
      <c r="S45" s="227"/>
      <c r="T45" s="98">
        <v>121</v>
      </c>
      <c r="U45" s="50">
        <f>T45+C45</f>
        <v>152</v>
      </c>
      <c r="V45" s="226"/>
      <c r="W45" s="227"/>
      <c r="X45" s="46">
        <f t="shared" si="1"/>
        <v>866</v>
      </c>
      <c r="Y45" s="106">
        <f>D45+H45+L45+P45+T45</f>
        <v>711</v>
      </c>
      <c r="Z45" s="67">
        <f>AVERAGE(E45,I45,M45,Q45,U45)</f>
        <v>173.2</v>
      </c>
      <c r="AA45" s="143">
        <f>AVERAGE(E45,I45,M45,Q45,U45)-C45</f>
        <v>142.2</v>
      </c>
      <c r="AB45" s="220"/>
    </row>
    <row r="46" spans="1:28" s="38" customFormat="1" ht="15.75" customHeight="1" thickBot="1">
      <c r="A46" s="229" t="s">
        <v>178</v>
      </c>
      <c r="B46" s="230"/>
      <c r="C46" s="151">
        <v>22</v>
      </c>
      <c r="D46" s="60">
        <v>118</v>
      </c>
      <c r="E46" s="50">
        <f>C46+D46</f>
        <v>140</v>
      </c>
      <c r="F46" s="204"/>
      <c r="G46" s="228"/>
      <c r="H46" s="99">
        <v>133</v>
      </c>
      <c r="I46" s="46">
        <f>H46+C46</f>
        <v>155</v>
      </c>
      <c r="J46" s="204"/>
      <c r="K46" s="228"/>
      <c r="L46" s="99">
        <v>139</v>
      </c>
      <c r="M46" s="50">
        <f>L46+C46</f>
        <v>161</v>
      </c>
      <c r="N46" s="204"/>
      <c r="O46" s="228"/>
      <c r="P46" s="99">
        <v>179</v>
      </c>
      <c r="Q46" s="50">
        <f>P46+C46</f>
        <v>201</v>
      </c>
      <c r="R46" s="204"/>
      <c r="S46" s="228"/>
      <c r="T46" s="99">
        <v>141</v>
      </c>
      <c r="U46" s="50">
        <f>T46+C46</f>
        <v>163</v>
      </c>
      <c r="V46" s="204"/>
      <c r="W46" s="228"/>
      <c r="X46" s="47">
        <f t="shared" si="1"/>
        <v>820</v>
      </c>
      <c r="Y46" s="107">
        <f>D46+H46+L46+P46+T46</f>
        <v>710</v>
      </c>
      <c r="Z46" s="68">
        <f>AVERAGE(E46,I46,M46,Q46,U46)</f>
        <v>164</v>
      </c>
      <c r="AA46" s="144">
        <f>AVERAGE(E46,I46,M46,Q46,U46)-C46</f>
        <v>142</v>
      </c>
      <c r="AB46" s="221"/>
    </row>
    <row r="47" spans="1:28" s="38" customFormat="1" ht="39" customHeight="1">
      <c r="A47" s="217" t="s">
        <v>76</v>
      </c>
      <c r="B47" s="218"/>
      <c r="C47" s="149">
        <f>SUM(C48:C50)</f>
        <v>104</v>
      </c>
      <c r="D47" s="62">
        <f>SUM(D48:D50)</f>
        <v>449</v>
      </c>
      <c r="E47" s="45">
        <f>SUM(E48:E50)</f>
        <v>553</v>
      </c>
      <c r="F47" s="45">
        <f>E43</f>
        <v>450</v>
      </c>
      <c r="G47" s="42" t="str">
        <f>A43</f>
        <v>VÄRSKA VESI</v>
      </c>
      <c r="H47" s="62">
        <f>SUM(H48:H50)</f>
        <v>357</v>
      </c>
      <c r="I47" s="45">
        <f>SUM(I48:I50)</f>
        <v>461</v>
      </c>
      <c r="J47" s="45">
        <f>I39</f>
        <v>600</v>
      </c>
      <c r="K47" s="42" t="str">
        <f>A39</f>
        <v>VERX</v>
      </c>
      <c r="L47" s="133">
        <f>SUM(L48:L50)</f>
        <v>403</v>
      </c>
      <c r="M47" s="49">
        <f>SUM(M48:M50)</f>
        <v>507</v>
      </c>
      <c r="N47" s="45">
        <f>M35</f>
        <v>477</v>
      </c>
      <c r="O47" s="42" t="str">
        <f>A35</f>
        <v>Holst/ Malmberg</v>
      </c>
      <c r="P47" s="45">
        <f>SUM(P48:P50)</f>
        <v>395</v>
      </c>
      <c r="Q47" s="49">
        <f>SUM(Q48:Q50)</f>
        <v>499</v>
      </c>
      <c r="R47" s="45">
        <f>Q51</f>
        <v>570</v>
      </c>
      <c r="S47" s="42" t="str">
        <f>A51</f>
        <v>LATER</v>
      </c>
      <c r="T47" s="133">
        <f>SUM(T48:T50)</f>
        <v>399</v>
      </c>
      <c r="U47" s="49">
        <f>SUM(U48:U50)</f>
        <v>503</v>
      </c>
      <c r="V47" s="45">
        <f>U55</f>
        <v>575</v>
      </c>
      <c r="W47" s="42" t="str">
        <f>A55</f>
        <v>NOOBEL</v>
      </c>
      <c r="X47" s="36">
        <f t="shared" si="1"/>
        <v>2523</v>
      </c>
      <c r="Y47" s="105">
        <f>SUM(Y48:Y50)</f>
        <v>2003</v>
      </c>
      <c r="Z47" s="65">
        <f>AVERAGE(Z48,Z49,Z50)</f>
        <v>168.20000000000002</v>
      </c>
      <c r="AA47" s="142">
        <f>AVERAGE(AA48,AA49,AA50)</f>
        <v>133.53333333333333</v>
      </c>
      <c r="AB47" s="219">
        <f>F48+J48+N48+R48+V48</f>
        <v>2</v>
      </c>
    </row>
    <row r="48" spans="1:28" s="38" customFormat="1" ht="15.75" customHeight="1">
      <c r="A48" s="222" t="s">
        <v>90</v>
      </c>
      <c r="B48" s="223"/>
      <c r="C48" s="150">
        <v>38</v>
      </c>
      <c r="D48" s="59">
        <v>148</v>
      </c>
      <c r="E48" s="50">
        <f>C48+D48</f>
        <v>186</v>
      </c>
      <c r="F48" s="224">
        <v>1</v>
      </c>
      <c r="G48" s="225"/>
      <c r="H48" s="97">
        <v>115</v>
      </c>
      <c r="I48" s="46">
        <f>H48+C48</f>
        <v>153</v>
      </c>
      <c r="J48" s="224">
        <v>0</v>
      </c>
      <c r="K48" s="225"/>
      <c r="L48" s="97">
        <v>121</v>
      </c>
      <c r="M48" s="50">
        <f>L48+C48</f>
        <v>159</v>
      </c>
      <c r="N48" s="224">
        <v>1</v>
      </c>
      <c r="O48" s="225"/>
      <c r="P48" s="97">
        <v>124</v>
      </c>
      <c r="Q48" s="50">
        <f>P48+C48</f>
        <v>162</v>
      </c>
      <c r="R48" s="224">
        <v>0</v>
      </c>
      <c r="S48" s="225"/>
      <c r="T48" s="97">
        <v>141</v>
      </c>
      <c r="U48" s="50">
        <f>T48+C48</f>
        <v>179</v>
      </c>
      <c r="V48" s="224">
        <v>0</v>
      </c>
      <c r="W48" s="225"/>
      <c r="X48" s="46">
        <f t="shared" si="1"/>
        <v>839</v>
      </c>
      <c r="Y48" s="106">
        <f>D48+H48+L48+P48+T48</f>
        <v>649</v>
      </c>
      <c r="Z48" s="67">
        <f>AVERAGE(E48,I48,M48,Q48,U48)</f>
        <v>167.8</v>
      </c>
      <c r="AA48" s="143">
        <f>AVERAGE(E48,I48,M48,Q48,U48)-C48</f>
        <v>129.8</v>
      </c>
      <c r="AB48" s="220"/>
    </row>
    <row r="49" spans="1:28" s="38" customFormat="1" ht="15.75" customHeight="1">
      <c r="A49" s="222" t="s">
        <v>98</v>
      </c>
      <c r="B49" s="223"/>
      <c r="C49" s="150">
        <v>48</v>
      </c>
      <c r="D49" s="59">
        <v>109</v>
      </c>
      <c r="E49" s="50">
        <f>C49+D49</f>
        <v>157</v>
      </c>
      <c r="F49" s="226"/>
      <c r="G49" s="227"/>
      <c r="H49" s="98">
        <v>92</v>
      </c>
      <c r="I49" s="46">
        <f>H49+C49</f>
        <v>140</v>
      </c>
      <c r="J49" s="226"/>
      <c r="K49" s="227"/>
      <c r="L49" s="98">
        <v>121</v>
      </c>
      <c r="M49" s="50">
        <f>L49+C49</f>
        <v>169</v>
      </c>
      <c r="N49" s="226"/>
      <c r="O49" s="227"/>
      <c r="P49" s="98">
        <v>131</v>
      </c>
      <c r="Q49" s="50">
        <f>P49+C49</f>
        <v>179</v>
      </c>
      <c r="R49" s="226"/>
      <c r="S49" s="227"/>
      <c r="T49" s="98">
        <v>112</v>
      </c>
      <c r="U49" s="50">
        <f>T49+C49</f>
        <v>160</v>
      </c>
      <c r="V49" s="226"/>
      <c r="W49" s="227"/>
      <c r="X49" s="46">
        <f t="shared" si="1"/>
        <v>805</v>
      </c>
      <c r="Y49" s="106">
        <f>D49+H49+L49+P49+T49</f>
        <v>565</v>
      </c>
      <c r="Z49" s="67">
        <f>AVERAGE(E49,I49,M49,Q49,U49)</f>
        <v>161</v>
      </c>
      <c r="AA49" s="143">
        <f>AVERAGE(E49,I49,M49,Q49,U49)-C49</f>
        <v>113</v>
      </c>
      <c r="AB49" s="220"/>
    </row>
    <row r="50" spans="1:29" s="38" customFormat="1" ht="15.75" customHeight="1" thickBot="1">
      <c r="A50" s="229" t="s">
        <v>91</v>
      </c>
      <c r="B50" s="230"/>
      <c r="C50" s="151">
        <v>18</v>
      </c>
      <c r="D50" s="60">
        <v>192</v>
      </c>
      <c r="E50" s="50">
        <f>C50+D50</f>
        <v>210</v>
      </c>
      <c r="F50" s="204"/>
      <c r="G50" s="228"/>
      <c r="H50" s="99">
        <v>150</v>
      </c>
      <c r="I50" s="46">
        <f>H50+C50</f>
        <v>168</v>
      </c>
      <c r="J50" s="204"/>
      <c r="K50" s="228"/>
      <c r="L50" s="99">
        <v>161</v>
      </c>
      <c r="M50" s="50">
        <f>L50+C50</f>
        <v>179</v>
      </c>
      <c r="N50" s="204"/>
      <c r="O50" s="228"/>
      <c r="P50" s="99">
        <v>140</v>
      </c>
      <c r="Q50" s="50">
        <f>P50+C50</f>
        <v>158</v>
      </c>
      <c r="R50" s="204"/>
      <c r="S50" s="228"/>
      <c r="T50" s="99">
        <v>146</v>
      </c>
      <c r="U50" s="50">
        <f>T50+C50</f>
        <v>164</v>
      </c>
      <c r="V50" s="204"/>
      <c r="W50" s="228"/>
      <c r="X50" s="47">
        <f t="shared" si="1"/>
        <v>879</v>
      </c>
      <c r="Y50" s="107">
        <f>D50+H50+L50+P50+T50</f>
        <v>789</v>
      </c>
      <c r="Z50" s="68">
        <f>AVERAGE(E50,I50,M50,Q50,U50)</f>
        <v>175.8</v>
      </c>
      <c r="AA50" s="144">
        <f>AVERAGE(E50,I50,M50,Q50,U50)-C50</f>
        <v>157.8</v>
      </c>
      <c r="AB50" s="221"/>
      <c r="AC50" s="44"/>
    </row>
    <row r="51" spans="1:28" s="38" customFormat="1" ht="53.25" customHeight="1">
      <c r="A51" s="217" t="s">
        <v>75</v>
      </c>
      <c r="B51" s="218"/>
      <c r="C51" s="149">
        <f>SUM(C52:C54)</f>
        <v>99</v>
      </c>
      <c r="D51" s="62">
        <f>SUM(D52:D54)</f>
        <v>468</v>
      </c>
      <c r="E51" s="45">
        <f>SUM(E52:E54)</f>
        <v>567</v>
      </c>
      <c r="F51" s="45">
        <f>E39</f>
        <v>571</v>
      </c>
      <c r="G51" s="42" t="str">
        <f>A39</f>
        <v>VERX</v>
      </c>
      <c r="H51" s="62">
        <f>SUM(H52:H54)</f>
        <v>427</v>
      </c>
      <c r="I51" s="45">
        <f>SUM(I52:I54)</f>
        <v>526</v>
      </c>
      <c r="J51" s="45">
        <f>I35</f>
        <v>435</v>
      </c>
      <c r="K51" s="42" t="str">
        <f>A35</f>
        <v>Holst/ Malmberg</v>
      </c>
      <c r="L51" s="133">
        <f>SUM(L52:L54)</f>
        <v>450</v>
      </c>
      <c r="M51" s="69">
        <f>SUM(M52:M54)</f>
        <v>549</v>
      </c>
      <c r="N51" s="45">
        <f>M55</f>
        <v>573</v>
      </c>
      <c r="O51" s="42" t="str">
        <f>A55</f>
        <v>NOOBEL</v>
      </c>
      <c r="P51" s="45">
        <f>SUM(P52:P54)</f>
        <v>471</v>
      </c>
      <c r="Q51" s="69">
        <f>SUM(Q52:Q54)</f>
        <v>570</v>
      </c>
      <c r="R51" s="45">
        <f>Q47</f>
        <v>499</v>
      </c>
      <c r="S51" s="42" t="str">
        <f>A47</f>
        <v>SADO</v>
      </c>
      <c r="T51" s="133">
        <f>SUM(T52:T54)</f>
        <v>470</v>
      </c>
      <c r="U51" s="69">
        <f>SUM(U52:U54)</f>
        <v>569</v>
      </c>
      <c r="V51" s="45">
        <f>U43</f>
        <v>506</v>
      </c>
      <c r="W51" s="42" t="str">
        <f>A43</f>
        <v>VÄRSKA VESI</v>
      </c>
      <c r="X51" s="36">
        <f t="shared" si="1"/>
        <v>2781</v>
      </c>
      <c r="Y51" s="105">
        <f>SUM(Y52:Y54)</f>
        <v>2286</v>
      </c>
      <c r="Z51" s="65">
        <f>AVERAGE(Z52,Z53,Z54)</f>
        <v>185.4</v>
      </c>
      <c r="AA51" s="142">
        <f>AVERAGE(AA52,AA53,AA54)</f>
        <v>152.4</v>
      </c>
      <c r="AB51" s="219">
        <f>F52+J52+N52+R52+V52</f>
        <v>3</v>
      </c>
    </row>
    <row r="52" spans="1:28" s="38" customFormat="1" ht="15.75" customHeight="1">
      <c r="A52" s="222" t="s">
        <v>84</v>
      </c>
      <c r="B52" s="223"/>
      <c r="C52" s="150">
        <v>34</v>
      </c>
      <c r="D52" s="59">
        <v>169</v>
      </c>
      <c r="E52" s="50">
        <f>C52+D52</f>
        <v>203</v>
      </c>
      <c r="F52" s="224">
        <v>0</v>
      </c>
      <c r="G52" s="225"/>
      <c r="H52" s="97">
        <v>155</v>
      </c>
      <c r="I52" s="46">
        <f>H52+C52</f>
        <v>189</v>
      </c>
      <c r="J52" s="224">
        <v>1</v>
      </c>
      <c r="K52" s="225"/>
      <c r="L52" s="97">
        <v>155</v>
      </c>
      <c r="M52" s="50">
        <f>L52+C52</f>
        <v>189</v>
      </c>
      <c r="N52" s="224">
        <v>0</v>
      </c>
      <c r="O52" s="225"/>
      <c r="P52" s="97">
        <v>167</v>
      </c>
      <c r="Q52" s="50">
        <f>P52+C52</f>
        <v>201</v>
      </c>
      <c r="R52" s="224">
        <v>1</v>
      </c>
      <c r="S52" s="225"/>
      <c r="T52" s="97">
        <v>170</v>
      </c>
      <c r="U52" s="50">
        <f>T52+C52</f>
        <v>204</v>
      </c>
      <c r="V52" s="224">
        <v>1</v>
      </c>
      <c r="W52" s="225"/>
      <c r="X52" s="46">
        <f t="shared" si="1"/>
        <v>986</v>
      </c>
      <c r="Y52" s="106">
        <f>D52+H52+L52+P52+T52</f>
        <v>816</v>
      </c>
      <c r="Z52" s="67">
        <f>AVERAGE(E52,I52,M52,Q52,U52)</f>
        <v>197.2</v>
      </c>
      <c r="AA52" s="143">
        <f>AVERAGE(E52,I52,M52,Q52,U52)-C52</f>
        <v>163.2</v>
      </c>
      <c r="AB52" s="220"/>
    </row>
    <row r="53" spans="1:28" s="38" customFormat="1" ht="15.75" customHeight="1">
      <c r="A53" s="222" t="s">
        <v>85</v>
      </c>
      <c r="B53" s="223"/>
      <c r="C53" s="150">
        <v>38</v>
      </c>
      <c r="D53" s="59">
        <v>153</v>
      </c>
      <c r="E53" s="50">
        <f>C53+D53</f>
        <v>191</v>
      </c>
      <c r="F53" s="226"/>
      <c r="G53" s="227"/>
      <c r="H53" s="98">
        <v>112</v>
      </c>
      <c r="I53" s="46">
        <f>H53+C53</f>
        <v>150</v>
      </c>
      <c r="J53" s="226"/>
      <c r="K53" s="227"/>
      <c r="L53" s="98">
        <v>131</v>
      </c>
      <c r="M53" s="50">
        <f>L53+C53</f>
        <v>169</v>
      </c>
      <c r="N53" s="226"/>
      <c r="O53" s="227"/>
      <c r="P53" s="98">
        <v>135</v>
      </c>
      <c r="Q53" s="50">
        <f>P53+C53</f>
        <v>173</v>
      </c>
      <c r="R53" s="226"/>
      <c r="S53" s="227"/>
      <c r="T53" s="98">
        <v>123</v>
      </c>
      <c r="U53" s="50">
        <f>T53+C53</f>
        <v>161</v>
      </c>
      <c r="V53" s="226"/>
      <c r="W53" s="227"/>
      <c r="X53" s="46">
        <f t="shared" si="1"/>
        <v>844</v>
      </c>
      <c r="Y53" s="106">
        <f>D53+H53+L53+P53+T53</f>
        <v>654</v>
      </c>
      <c r="Z53" s="67">
        <f>AVERAGE(E53,I53,M53,Q53,U53)</f>
        <v>168.8</v>
      </c>
      <c r="AA53" s="143">
        <f>AVERAGE(E53,I53,M53,Q53,U53)-C53</f>
        <v>130.8</v>
      </c>
      <c r="AB53" s="220"/>
    </row>
    <row r="54" spans="1:28" s="38" customFormat="1" ht="15.75" customHeight="1" thickBot="1">
      <c r="A54" s="229" t="s">
        <v>86</v>
      </c>
      <c r="B54" s="230"/>
      <c r="C54" s="151">
        <v>27</v>
      </c>
      <c r="D54" s="60">
        <v>146</v>
      </c>
      <c r="E54" s="50">
        <f>C54+D54</f>
        <v>173</v>
      </c>
      <c r="F54" s="204"/>
      <c r="G54" s="228"/>
      <c r="H54" s="99">
        <v>160</v>
      </c>
      <c r="I54" s="46">
        <f>H54+C54</f>
        <v>187</v>
      </c>
      <c r="J54" s="204"/>
      <c r="K54" s="228"/>
      <c r="L54" s="99">
        <v>164</v>
      </c>
      <c r="M54" s="50">
        <f>L54+C54</f>
        <v>191</v>
      </c>
      <c r="N54" s="204"/>
      <c r="O54" s="228"/>
      <c r="P54" s="99">
        <v>169</v>
      </c>
      <c r="Q54" s="50">
        <f>P54+C54</f>
        <v>196</v>
      </c>
      <c r="R54" s="204"/>
      <c r="S54" s="228"/>
      <c r="T54" s="99">
        <v>177</v>
      </c>
      <c r="U54" s="50">
        <f>T54+C54</f>
        <v>204</v>
      </c>
      <c r="V54" s="204"/>
      <c r="W54" s="228"/>
      <c r="X54" s="47">
        <f t="shared" si="1"/>
        <v>951</v>
      </c>
      <c r="Y54" s="107">
        <f>D54+H54+L54+P54+T54</f>
        <v>816</v>
      </c>
      <c r="Z54" s="68">
        <f>AVERAGE(E54,I54,M54,Q54,U54)</f>
        <v>190.2</v>
      </c>
      <c r="AA54" s="144">
        <f>AVERAGE(E54,I54,M54,Q54,U54)-C54</f>
        <v>163.2</v>
      </c>
      <c r="AB54" s="221"/>
    </row>
    <row r="55" spans="1:28" s="38" customFormat="1" ht="42" customHeight="1">
      <c r="A55" s="217" t="s">
        <v>197</v>
      </c>
      <c r="B55" s="218"/>
      <c r="C55" s="149">
        <f>SUM(C56:C58)</f>
        <v>66</v>
      </c>
      <c r="D55" s="62">
        <f>SUM(D56:D58)</f>
        <v>445</v>
      </c>
      <c r="E55" s="45">
        <f>SUM(E56:E58)</f>
        <v>511</v>
      </c>
      <c r="F55" s="45">
        <f>E35</f>
        <v>509</v>
      </c>
      <c r="G55" s="42" t="str">
        <f>A35</f>
        <v>Holst/ Malmberg</v>
      </c>
      <c r="H55" s="62">
        <f>SUM(H56:H58)</f>
        <v>475</v>
      </c>
      <c r="I55" s="45">
        <f>SUM(I56:I58)</f>
        <v>541</v>
      </c>
      <c r="J55" s="45">
        <f>I43</f>
        <v>508</v>
      </c>
      <c r="K55" s="42" t="str">
        <f>A43</f>
        <v>VÄRSKA VESI</v>
      </c>
      <c r="L55" s="133">
        <f>SUM(L56:L58)</f>
        <v>507</v>
      </c>
      <c r="M55" s="49">
        <f>SUM(M56:M58)</f>
        <v>573</v>
      </c>
      <c r="N55" s="45">
        <f>M51</f>
        <v>549</v>
      </c>
      <c r="O55" s="42" t="str">
        <f>A51</f>
        <v>LATER</v>
      </c>
      <c r="P55" s="45">
        <f>SUM(P56:P58)</f>
        <v>547</v>
      </c>
      <c r="Q55" s="49">
        <f>SUM(Q56:Q58)</f>
        <v>613</v>
      </c>
      <c r="R55" s="45">
        <f>Q39</f>
        <v>523</v>
      </c>
      <c r="S55" s="42" t="str">
        <f>A39</f>
        <v>VERX</v>
      </c>
      <c r="T55" s="133">
        <f>SUM(T56:T58)</f>
        <v>509</v>
      </c>
      <c r="U55" s="49">
        <f>SUM(U56:U58)</f>
        <v>575</v>
      </c>
      <c r="V55" s="45">
        <f>U47</f>
        <v>503</v>
      </c>
      <c r="W55" s="42" t="str">
        <f>A47</f>
        <v>SADO</v>
      </c>
      <c r="X55" s="36">
        <f t="shared" si="1"/>
        <v>2813</v>
      </c>
      <c r="Y55" s="105">
        <f>SUM(Y56:Y58)</f>
        <v>2483</v>
      </c>
      <c r="Z55" s="65">
        <f>AVERAGE(Z56,Z57,Z58)</f>
        <v>187.53333333333333</v>
      </c>
      <c r="AA55" s="142">
        <f>AVERAGE(AA56,AA57,AA58)</f>
        <v>165.53333333333333</v>
      </c>
      <c r="AB55" s="219">
        <f>F56+J56+N56+R56+V56</f>
        <v>5</v>
      </c>
    </row>
    <row r="56" spans="1:28" s="38" customFormat="1" ht="15.75" customHeight="1">
      <c r="A56" s="222" t="s">
        <v>203</v>
      </c>
      <c r="B56" s="223"/>
      <c r="C56" s="150">
        <v>25</v>
      </c>
      <c r="D56" s="59">
        <v>120</v>
      </c>
      <c r="E56" s="50">
        <f>C56+D56</f>
        <v>145</v>
      </c>
      <c r="F56" s="224">
        <v>1</v>
      </c>
      <c r="G56" s="225"/>
      <c r="H56" s="97">
        <v>168</v>
      </c>
      <c r="I56" s="46">
        <f>H56+C56</f>
        <v>193</v>
      </c>
      <c r="J56" s="224">
        <v>1</v>
      </c>
      <c r="K56" s="225"/>
      <c r="L56" s="97">
        <v>186</v>
      </c>
      <c r="M56" s="50">
        <f>L56+C56</f>
        <v>211</v>
      </c>
      <c r="N56" s="224">
        <v>1</v>
      </c>
      <c r="O56" s="225"/>
      <c r="P56" s="97">
        <v>186</v>
      </c>
      <c r="Q56" s="50">
        <f>P56+C56</f>
        <v>211</v>
      </c>
      <c r="R56" s="224">
        <v>1</v>
      </c>
      <c r="S56" s="225"/>
      <c r="T56" s="97">
        <v>175</v>
      </c>
      <c r="U56" s="50">
        <f>T56+C56</f>
        <v>200</v>
      </c>
      <c r="V56" s="224">
        <v>1</v>
      </c>
      <c r="W56" s="225"/>
      <c r="X56" s="46">
        <f t="shared" si="1"/>
        <v>960</v>
      </c>
      <c r="Y56" s="106">
        <f>D56+H56+L56+P56+T56</f>
        <v>835</v>
      </c>
      <c r="Z56" s="67">
        <f>AVERAGE(E56,I56,M56,Q56,U56)</f>
        <v>192</v>
      </c>
      <c r="AA56" s="143">
        <f>AVERAGE(E56,I56,M56,Q56,U56)-C56</f>
        <v>167</v>
      </c>
      <c r="AB56" s="220"/>
    </row>
    <row r="57" spans="1:28" s="38" customFormat="1" ht="15.75" customHeight="1">
      <c r="A57" s="222" t="s">
        <v>204</v>
      </c>
      <c r="B57" s="223"/>
      <c r="C57" s="150">
        <v>15</v>
      </c>
      <c r="D57" s="59">
        <v>167</v>
      </c>
      <c r="E57" s="50">
        <f>C57+D57</f>
        <v>182</v>
      </c>
      <c r="F57" s="226"/>
      <c r="G57" s="227"/>
      <c r="H57" s="98">
        <v>146</v>
      </c>
      <c r="I57" s="46">
        <f>H57+C57</f>
        <v>161</v>
      </c>
      <c r="J57" s="226"/>
      <c r="K57" s="227"/>
      <c r="L57" s="98">
        <v>161</v>
      </c>
      <c r="M57" s="50">
        <f>L57+C57</f>
        <v>176</v>
      </c>
      <c r="N57" s="226"/>
      <c r="O57" s="227"/>
      <c r="P57" s="98">
        <v>174</v>
      </c>
      <c r="Q57" s="50">
        <f>P57+C57</f>
        <v>189</v>
      </c>
      <c r="R57" s="226"/>
      <c r="S57" s="227"/>
      <c r="T57" s="98">
        <v>177</v>
      </c>
      <c r="U57" s="50">
        <f>T57+C57</f>
        <v>192</v>
      </c>
      <c r="V57" s="226"/>
      <c r="W57" s="227"/>
      <c r="X57" s="46">
        <f t="shared" si="1"/>
        <v>900</v>
      </c>
      <c r="Y57" s="106">
        <f>D57+H57+L57+P57+T57</f>
        <v>825</v>
      </c>
      <c r="Z57" s="67">
        <f>AVERAGE(E57,I57,M57,Q57,U57)</f>
        <v>180</v>
      </c>
      <c r="AA57" s="143">
        <f>AVERAGE(E57,I57,M57,Q57,U57)-C57</f>
        <v>165</v>
      </c>
      <c r="AB57" s="220"/>
    </row>
    <row r="58" spans="1:28" s="38" customFormat="1" ht="15.75" customHeight="1" thickBot="1">
      <c r="A58" s="229" t="s">
        <v>205</v>
      </c>
      <c r="B58" s="230"/>
      <c r="C58" s="151">
        <v>26</v>
      </c>
      <c r="D58" s="60">
        <v>158</v>
      </c>
      <c r="E58" s="50">
        <f>C58+D58</f>
        <v>184</v>
      </c>
      <c r="F58" s="204"/>
      <c r="G58" s="228"/>
      <c r="H58" s="99">
        <v>161</v>
      </c>
      <c r="I58" s="46">
        <f>H58+C58</f>
        <v>187</v>
      </c>
      <c r="J58" s="204"/>
      <c r="K58" s="228"/>
      <c r="L58" s="99">
        <v>160</v>
      </c>
      <c r="M58" s="50">
        <f>L58+C58</f>
        <v>186</v>
      </c>
      <c r="N58" s="204"/>
      <c r="O58" s="228"/>
      <c r="P58" s="99">
        <v>187</v>
      </c>
      <c r="Q58" s="50">
        <f>P58+C58</f>
        <v>213</v>
      </c>
      <c r="R58" s="204"/>
      <c r="S58" s="228"/>
      <c r="T58" s="99">
        <v>157</v>
      </c>
      <c r="U58" s="50">
        <f>T58+C58</f>
        <v>183</v>
      </c>
      <c r="V58" s="204"/>
      <c r="W58" s="228"/>
      <c r="X58" s="47">
        <f t="shared" si="1"/>
        <v>953</v>
      </c>
      <c r="Y58" s="107">
        <f>D58+H58+L58+P58+T58</f>
        <v>823</v>
      </c>
      <c r="Z58" s="68">
        <f>AVERAGE(E58,I58,M58,Q58,U58)</f>
        <v>190.6</v>
      </c>
      <c r="AA58" s="144">
        <f>AVERAGE(E58,I58,M58,Q58,U58)-C58</f>
        <v>164.6</v>
      </c>
      <c r="AB58" s="221"/>
    </row>
    <row r="59" ht="15" customHeight="1"/>
    <row r="60" spans="1:28" s="40" customFormat="1" ht="9" customHeight="1">
      <c r="A60" s="207" t="s">
        <v>327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4"/>
      <c r="W60" s="25"/>
      <c r="Y60" s="57"/>
      <c r="Z60" s="41"/>
      <c r="AA60" s="139"/>
      <c r="AB60" s="25"/>
    </row>
    <row r="61" spans="1:28" s="40" customFormat="1" ht="6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4"/>
      <c r="W61" s="25"/>
      <c r="Y61" s="57"/>
      <c r="Z61" s="41"/>
      <c r="AA61" s="139"/>
      <c r="AB61" s="25"/>
    </row>
    <row r="62" spans="1:28" s="40" customFormat="1" ht="23.25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5"/>
      <c r="W62" s="25"/>
      <c r="Y62" s="57"/>
      <c r="Z62" s="41"/>
      <c r="AA62" s="139"/>
      <c r="AB62" s="25"/>
    </row>
    <row r="63" spans="1:28" s="31" customFormat="1" ht="15.75" customHeight="1">
      <c r="A63" s="209" t="s">
        <v>0</v>
      </c>
      <c r="B63" s="210"/>
      <c r="C63" s="147" t="s">
        <v>39</v>
      </c>
      <c r="D63" s="55"/>
      <c r="E63" s="27" t="s">
        <v>1</v>
      </c>
      <c r="F63" s="211" t="s">
        <v>2</v>
      </c>
      <c r="G63" s="212"/>
      <c r="H63" s="94"/>
      <c r="I63" s="27" t="s">
        <v>3</v>
      </c>
      <c r="J63" s="211" t="s">
        <v>2</v>
      </c>
      <c r="K63" s="212"/>
      <c r="L63" s="94"/>
      <c r="M63" s="27" t="s">
        <v>4</v>
      </c>
      <c r="N63" s="211" t="s">
        <v>2</v>
      </c>
      <c r="O63" s="212"/>
      <c r="P63" s="94"/>
      <c r="Q63" s="27" t="s">
        <v>5</v>
      </c>
      <c r="R63" s="211" t="s">
        <v>2</v>
      </c>
      <c r="S63" s="212"/>
      <c r="T63" s="94"/>
      <c r="U63" s="27" t="s">
        <v>6</v>
      </c>
      <c r="V63" s="211" t="s">
        <v>2</v>
      </c>
      <c r="W63" s="212"/>
      <c r="X63" s="28" t="s">
        <v>7</v>
      </c>
      <c r="Y63" s="104"/>
      <c r="Z63" s="29" t="s">
        <v>40</v>
      </c>
      <c r="AA63" s="140" t="s">
        <v>42</v>
      </c>
      <c r="AB63" s="30" t="s">
        <v>7</v>
      </c>
    </row>
    <row r="64" spans="1:28" s="31" customFormat="1" ht="15.75" customHeight="1" thickBot="1">
      <c r="A64" s="213" t="s">
        <v>9</v>
      </c>
      <c r="B64" s="214"/>
      <c r="C64" s="148"/>
      <c r="D64" s="56"/>
      <c r="E64" s="32" t="s">
        <v>10</v>
      </c>
      <c r="F64" s="211" t="s">
        <v>11</v>
      </c>
      <c r="G64" s="212"/>
      <c r="H64" s="95"/>
      <c r="I64" s="32" t="s">
        <v>10</v>
      </c>
      <c r="J64" s="215" t="s">
        <v>11</v>
      </c>
      <c r="K64" s="216"/>
      <c r="L64" s="95"/>
      <c r="M64" s="32" t="s">
        <v>10</v>
      </c>
      <c r="N64" s="215" t="s">
        <v>11</v>
      </c>
      <c r="O64" s="216"/>
      <c r="P64" s="95"/>
      <c r="Q64" s="32" t="s">
        <v>10</v>
      </c>
      <c r="R64" s="215" t="s">
        <v>11</v>
      </c>
      <c r="S64" s="216"/>
      <c r="T64" s="95"/>
      <c r="U64" s="32" t="s">
        <v>10</v>
      </c>
      <c r="V64" s="215" t="s">
        <v>11</v>
      </c>
      <c r="W64" s="216"/>
      <c r="X64" s="33" t="s">
        <v>10</v>
      </c>
      <c r="Y64" s="134" t="s">
        <v>287</v>
      </c>
      <c r="Z64" s="34" t="s">
        <v>41</v>
      </c>
      <c r="AA64" s="141" t="s">
        <v>43</v>
      </c>
      <c r="AB64" s="35" t="s">
        <v>12</v>
      </c>
    </row>
    <row r="65" spans="1:28" s="38" customFormat="1" ht="42" customHeight="1">
      <c r="A65" s="217" t="s">
        <v>167</v>
      </c>
      <c r="B65" s="218"/>
      <c r="C65" s="149">
        <f>SUM(C66:C68)</f>
        <v>142</v>
      </c>
      <c r="D65" s="62">
        <f>SUM(D66:D68)</f>
        <v>346</v>
      </c>
      <c r="E65" s="63">
        <f>SUM(E66:E68)</f>
        <v>488</v>
      </c>
      <c r="F65" s="46">
        <f>E85</f>
        <v>536</v>
      </c>
      <c r="G65" s="64" t="str">
        <f>A85</f>
        <v>AVR Projekt</v>
      </c>
      <c r="H65" s="62">
        <f>SUM(H66:H68)</f>
        <v>377</v>
      </c>
      <c r="I65" s="49">
        <f>SUM(I66:I68)</f>
        <v>519</v>
      </c>
      <c r="J65" s="49">
        <f>I81</f>
        <v>475</v>
      </c>
      <c r="K65" s="42" t="str">
        <f>A81</f>
        <v>AKAT 2</v>
      </c>
      <c r="L65" s="58">
        <f>SUM(L66:L68)</f>
        <v>338</v>
      </c>
      <c r="M65" s="45">
        <f>SUM(M66:M68)</f>
        <v>480</v>
      </c>
      <c r="N65" s="45">
        <f>M77</f>
        <v>508</v>
      </c>
      <c r="O65" s="42" t="str">
        <f>A77</f>
        <v>KUNDA TRANS</v>
      </c>
      <c r="P65" s="45">
        <f>SUM(P66:P68)</f>
        <v>360</v>
      </c>
      <c r="Q65" s="45">
        <f>SUM(Q66:Q68)</f>
        <v>502</v>
      </c>
      <c r="R65" s="45">
        <f>Q73</f>
        <v>580</v>
      </c>
      <c r="S65" s="42" t="str">
        <f>A73</f>
        <v>LAJOS 1</v>
      </c>
      <c r="T65" s="133">
        <f>SUM(T66:T68)</f>
        <v>338</v>
      </c>
      <c r="U65" s="45">
        <f>SUM(U66:U68)</f>
        <v>480</v>
      </c>
      <c r="V65" s="45">
        <f>U69</f>
        <v>450</v>
      </c>
      <c r="W65" s="42" t="str">
        <f>A69</f>
        <v>FEB</v>
      </c>
      <c r="X65" s="36">
        <f aca="true" t="shared" si="2" ref="X65:X88">E65+I65+M65+Q65+U65</f>
        <v>2469</v>
      </c>
      <c r="Y65" s="105">
        <f>SUM(Y66:Y68)</f>
        <v>1759</v>
      </c>
      <c r="Z65" s="37">
        <f>AVERAGE(Z66,Z67,Z68)</f>
        <v>164.6</v>
      </c>
      <c r="AA65" s="142">
        <f>AVERAGE(AA66,AA67,AA68)</f>
        <v>117.26666666666667</v>
      </c>
      <c r="AB65" s="219">
        <f>F66+J66+N66+R66+V66</f>
        <v>2</v>
      </c>
    </row>
    <row r="66" spans="1:28" s="38" customFormat="1" ht="15.75" customHeight="1">
      <c r="A66" s="222" t="s">
        <v>170</v>
      </c>
      <c r="B66" s="223"/>
      <c r="C66" s="150">
        <v>42</v>
      </c>
      <c r="D66" s="59">
        <v>105</v>
      </c>
      <c r="E66" s="50">
        <f>D66+C66</f>
        <v>147</v>
      </c>
      <c r="F66" s="224">
        <v>0</v>
      </c>
      <c r="G66" s="225"/>
      <c r="H66" s="97">
        <v>134</v>
      </c>
      <c r="I66" s="46">
        <f>H66+C66</f>
        <v>176</v>
      </c>
      <c r="J66" s="224">
        <v>1</v>
      </c>
      <c r="K66" s="225"/>
      <c r="L66" s="97">
        <v>116</v>
      </c>
      <c r="M66" s="50">
        <f>L66+C66</f>
        <v>158</v>
      </c>
      <c r="N66" s="224">
        <v>0</v>
      </c>
      <c r="O66" s="225"/>
      <c r="P66" s="97">
        <v>141</v>
      </c>
      <c r="Q66" s="50">
        <f>P66+C66</f>
        <v>183</v>
      </c>
      <c r="R66" s="224">
        <v>0</v>
      </c>
      <c r="S66" s="225"/>
      <c r="T66" s="97">
        <v>119</v>
      </c>
      <c r="U66" s="50">
        <f>T66+C66</f>
        <v>161</v>
      </c>
      <c r="V66" s="224">
        <v>1</v>
      </c>
      <c r="W66" s="225"/>
      <c r="X66" s="46">
        <f t="shared" si="2"/>
        <v>825</v>
      </c>
      <c r="Y66" s="106">
        <f>D66+H66+L66+P66+T66</f>
        <v>615</v>
      </c>
      <c r="Z66" s="67">
        <f>AVERAGE(E66,I66,M66,Q66,U66)</f>
        <v>165</v>
      </c>
      <c r="AA66" s="143">
        <f>AVERAGE(E66,I66,M66,Q66,U66)-C66</f>
        <v>123</v>
      </c>
      <c r="AB66" s="220"/>
    </row>
    <row r="67" spans="1:28" s="38" customFormat="1" ht="15.75" customHeight="1">
      <c r="A67" s="222" t="s">
        <v>285</v>
      </c>
      <c r="B67" s="223"/>
      <c r="C67" s="150">
        <v>44</v>
      </c>
      <c r="D67" s="59">
        <v>136</v>
      </c>
      <c r="E67" s="50">
        <f>D67+C67</f>
        <v>180</v>
      </c>
      <c r="F67" s="226"/>
      <c r="G67" s="227"/>
      <c r="H67" s="98">
        <v>145</v>
      </c>
      <c r="I67" s="46">
        <f>H67+C67</f>
        <v>189</v>
      </c>
      <c r="J67" s="226"/>
      <c r="K67" s="227"/>
      <c r="L67" s="98">
        <v>109</v>
      </c>
      <c r="M67" s="50">
        <f>L67+C67</f>
        <v>153</v>
      </c>
      <c r="N67" s="226"/>
      <c r="O67" s="227"/>
      <c r="P67" s="98">
        <v>114</v>
      </c>
      <c r="Q67" s="50">
        <f>P67+C67</f>
        <v>158</v>
      </c>
      <c r="R67" s="226"/>
      <c r="S67" s="227"/>
      <c r="T67" s="98">
        <v>86</v>
      </c>
      <c r="U67" s="50">
        <f>T67+C67</f>
        <v>130</v>
      </c>
      <c r="V67" s="226"/>
      <c r="W67" s="227"/>
      <c r="X67" s="46">
        <f t="shared" si="2"/>
        <v>810</v>
      </c>
      <c r="Y67" s="106">
        <f>D67+H67+L67+P67+T67</f>
        <v>590</v>
      </c>
      <c r="Z67" s="67">
        <f>AVERAGE(E67,I67,M67,Q67,U67)</f>
        <v>162</v>
      </c>
      <c r="AA67" s="143">
        <f>AVERAGE(E67,I67,M67,Q67,U67)-C67</f>
        <v>118</v>
      </c>
      <c r="AB67" s="220"/>
    </row>
    <row r="68" spans="1:28" s="38" customFormat="1" ht="16.5" customHeight="1" thickBot="1">
      <c r="A68" s="229" t="s">
        <v>169</v>
      </c>
      <c r="B68" s="230"/>
      <c r="C68" s="151">
        <v>56</v>
      </c>
      <c r="D68" s="60">
        <v>105</v>
      </c>
      <c r="E68" s="50">
        <f>D68+C68</f>
        <v>161</v>
      </c>
      <c r="F68" s="204"/>
      <c r="G68" s="228"/>
      <c r="H68" s="99">
        <v>98</v>
      </c>
      <c r="I68" s="46">
        <f>H68+C68</f>
        <v>154</v>
      </c>
      <c r="J68" s="204"/>
      <c r="K68" s="228"/>
      <c r="L68" s="99">
        <v>113</v>
      </c>
      <c r="M68" s="50">
        <f>L68+C68</f>
        <v>169</v>
      </c>
      <c r="N68" s="204"/>
      <c r="O68" s="228"/>
      <c r="P68" s="99">
        <v>105</v>
      </c>
      <c r="Q68" s="50">
        <f>P68+C68</f>
        <v>161</v>
      </c>
      <c r="R68" s="204"/>
      <c r="S68" s="228"/>
      <c r="T68" s="99">
        <v>133</v>
      </c>
      <c r="U68" s="50">
        <f>T68+C68</f>
        <v>189</v>
      </c>
      <c r="V68" s="204"/>
      <c r="W68" s="228"/>
      <c r="X68" s="47">
        <f t="shared" si="2"/>
        <v>834</v>
      </c>
      <c r="Y68" s="107">
        <f>D68+H68+L68+P68+T68</f>
        <v>554</v>
      </c>
      <c r="Z68" s="68">
        <f>AVERAGE(E68,I68,M68,Q68,U68)</f>
        <v>166.8</v>
      </c>
      <c r="AA68" s="144">
        <f>AVERAGE(E68,I68,M68,Q68,U68)-C68</f>
        <v>110.80000000000001</v>
      </c>
      <c r="AB68" s="221"/>
    </row>
    <row r="69" spans="1:28" s="38" customFormat="1" ht="41.25" customHeight="1">
      <c r="A69" s="217" t="s">
        <v>15</v>
      </c>
      <c r="B69" s="218"/>
      <c r="C69" s="149">
        <f>SUM(C70:C72)</f>
        <v>131</v>
      </c>
      <c r="D69" s="62">
        <f>SUM(D70:D72)</f>
        <v>416</v>
      </c>
      <c r="E69" s="45">
        <f>SUM(E70:E72)</f>
        <v>547</v>
      </c>
      <c r="F69" s="45">
        <f>E81</f>
        <v>480</v>
      </c>
      <c r="G69" s="42" t="str">
        <f>A81</f>
        <v>AKAT 2</v>
      </c>
      <c r="H69" s="62">
        <f>SUM(H70:H72)</f>
        <v>340</v>
      </c>
      <c r="I69" s="45">
        <f>SUM(I70:I72)</f>
        <v>471</v>
      </c>
      <c r="J69" s="45">
        <f>I77</f>
        <v>491</v>
      </c>
      <c r="K69" s="42" t="str">
        <f>A77</f>
        <v>KUNDA TRANS</v>
      </c>
      <c r="L69" s="133">
        <f>SUM(L70:L72)</f>
        <v>422</v>
      </c>
      <c r="M69" s="49">
        <f>SUM(M70:M72)</f>
        <v>553</v>
      </c>
      <c r="N69" s="45">
        <f>M73</f>
        <v>586</v>
      </c>
      <c r="O69" s="42" t="str">
        <f>A73</f>
        <v>LAJOS 1</v>
      </c>
      <c r="P69" s="45">
        <f>SUM(P70:P72)</f>
        <v>384</v>
      </c>
      <c r="Q69" s="49">
        <f>SUM(Q70:Q72)</f>
        <v>515</v>
      </c>
      <c r="R69" s="45">
        <f>Q85</f>
        <v>567</v>
      </c>
      <c r="S69" s="42" t="str">
        <f>A85</f>
        <v>AVR Projekt</v>
      </c>
      <c r="T69" s="133">
        <f>SUM(T70:T72)</f>
        <v>319</v>
      </c>
      <c r="U69" s="49">
        <f>SUM(U70:U72)</f>
        <v>450</v>
      </c>
      <c r="V69" s="45">
        <f>U65</f>
        <v>480</v>
      </c>
      <c r="W69" s="42" t="str">
        <f>A65</f>
        <v>T.E.M.</v>
      </c>
      <c r="X69" s="36">
        <f t="shared" si="2"/>
        <v>2536</v>
      </c>
      <c r="Y69" s="105">
        <f>SUM(Y70:Y72)</f>
        <v>1881</v>
      </c>
      <c r="Z69" s="65">
        <f>AVERAGE(Z70,Z71,Z72)</f>
        <v>169.06666666666666</v>
      </c>
      <c r="AA69" s="142">
        <f>AVERAGE(AA70,AA71,AA72)</f>
        <v>125.39999999999999</v>
      </c>
      <c r="AB69" s="219">
        <f>F70+J70+N70+R70+V70</f>
        <v>1</v>
      </c>
    </row>
    <row r="70" spans="1:28" s="38" customFormat="1" ht="15.75" customHeight="1">
      <c r="A70" s="222" t="s">
        <v>49</v>
      </c>
      <c r="B70" s="223"/>
      <c r="C70" s="150">
        <v>40</v>
      </c>
      <c r="D70" s="59">
        <v>158</v>
      </c>
      <c r="E70" s="50">
        <f>D70+C70</f>
        <v>198</v>
      </c>
      <c r="F70" s="224">
        <v>1</v>
      </c>
      <c r="G70" s="225"/>
      <c r="H70" s="97">
        <v>91</v>
      </c>
      <c r="I70" s="46">
        <f>H70+C70</f>
        <v>131</v>
      </c>
      <c r="J70" s="224">
        <v>0</v>
      </c>
      <c r="K70" s="225"/>
      <c r="L70" s="97">
        <v>166</v>
      </c>
      <c r="M70" s="50">
        <f>L70+C70</f>
        <v>206</v>
      </c>
      <c r="N70" s="224">
        <v>0</v>
      </c>
      <c r="O70" s="225"/>
      <c r="P70" s="97">
        <v>130</v>
      </c>
      <c r="Q70" s="50">
        <f>P70+C70</f>
        <v>170</v>
      </c>
      <c r="R70" s="224">
        <v>0</v>
      </c>
      <c r="S70" s="225"/>
      <c r="T70" s="97">
        <v>123</v>
      </c>
      <c r="U70" s="50">
        <f>T70+C70</f>
        <v>163</v>
      </c>
      <c r="V70" s="224">
        <v>0</v>
      </c>
      <c r="W70" s="225"/>
      <c r="X70" s="46">
        <f t="shared" si="2"/>
        <v>868</v>
      </c>
      <c r="Y70" s="106">
        <f>D70+H70+L70+P70+T70</f>
        <v>668</v>
      </c>
      <c r="Z70" s="67">
        <f>AVERAGE(E70,I70,M70,Q70,U70)</f>
        <v>173.6</v>
      </c>
      <c r="AA70" s="143">
        <f>AVERAGE(E70,I70,M70,Q70,U70)-C70</f>
        <v>133.6</v>
      </c>
      <c r="AB70" s="220"/>
    </row>
    <row r="71" spans="1:28" s="38" customFormat="1" ht="15.75" customHeight="1">
      <c r="A71" s="222" t="s">
        <v>275</v>
      </c>
      <c r="B71" s="223"/>
      <c r="C71" s="150">
        <v>55</v>
      </c>
      <c r="D71" s="59">
        <v>110</v>
      </c>
      <c r="E71" s="50">
        <f>D71+C71</f>
        <v>165</v>
      </c>
      <c r="F71" s="226"/>
      <c r="G71" s="227"/>
      <c r="H71" s="98">
        <v>139</v>
      </c>
      <c r="I71" s="46">
        <f>H71+C71</f>
        <v>194</v>
      </c>
      <c r="J71" s="226"/>
      <c r="K71" s="227"/>
      <c r="L71" s="98">
        <v>132</v>
      </c>
      <c r="M71" s="50">
        <f>L71+C71</f>
        <v>187</v>
      </c>
      <c r="N71" s="226"/>
      <c r="O71" s="227"/>
      <c r="P71" s="98">
        <v>118</v>
      </c>
      <c r="Q71" s="50">
        <f>P71+C71</f>
        <v>173</v>
      </c>
      <c r="R71" s="226"/>
      <c r="S71" s="227"/>
      <c r="T71" s="98">
        <v>93</v>
      </c>
      <c r="U71" s="50">
        <f>T71+C71</f>
        <v>148</v>
      </c>
      <c r="V71" s="226"/>
      <c r="W71" s="227"/>
      <c r="X71" s="46">
        <f t="shared" si="2"/>
        <v>867</v>
      </c>
      <c r="Y71" s="106">
        <f>D71+H71+L71+P71+T71</f>
        <v>592</v>
      </c>
      <c r="Z71" s="67">
        <f>AVERAGE(E71,I71,M71,Q71,U71)</f>
        <v>173.4</v>
      </c>
      <c r="AA71" s="143">
        <f>AVERAGE(E71,I71,M71,Q71,U71)-C71</f>
        <v>118.4</v>
      </c>
      <c r="AB71" s="220"/>
    </row>
    <row r="72" spans="1:28" s="38" customFormat="1" ht="15.75" customHeight="1" thickBot="1">
      <c r="A72" s="229" t="s">
        <v>276</v>
      </c>
      <c r="B72" s="230"/>
      <c r="C72" s="151">
        <v>36</v>
      </c>
      <c r="D72" s="60">
        <v>148</v>
      </c>
      <c r="E72" s="50">
        <f>D72+C72</f>
        <v>184</v>
      </c>
      <c r="F72" s="204"/>
      <c r="G72" s="228"/>
      <c r="H72" s="99">
        <v>110</v>
      </c>
      <c r="I72" s="46">
        <f>H72+C72</f>
        <v>146</v>
      </c>
      <c r="J72" s="204"/>
      <c r="K72" s="228"/>
      <c r="L72" s="99">
        <v>124</v>
      </c>
      <c r="M72" s="50">
        <f>L72+C72</f>
        <v>160</v>
      </c>
      <c r="N72" s="204"/>
      <c r="O72" s="228"/>
      <c r="P72" s="99">
        <v>136</v>
      </c>
      <c r="Q72" s="50">
        <f>P72+C72</f>
        <v>172</v>
      </c>
      <c r="R72" s="204"/>
      <c r="S72" s="228"/>
      <c r="T72" s="99">
        <v>103</v>
      </c>
      <c r="U72" s="50">
        <f>T72+C72</f>
        <v>139</v>
      </c>
      <c r="V72" s="204"/>
      <c r="W72" s="228"/>
      <c r="X72" s="47">
        <f t="shared" si="2"/>
        <v>801</v>
      </c>
      <c r="Y72" s="107">
        <f>D72+H72+L72+P72+T72</f>
        <v>621</v>
      </c>
      <c r="Z72" s="68">
        <f>AVERAGE(E72,I72,M72,Q72,U72)</f>
        <v>160.2</v>
      </c>
      <c r="AA72" s="144">
        <f>AVERAGE(E72,I72,M72,Q72,U72)-C72</f>
        <v>124.19999999999999</v>
      </c>
      <c r="AB72" s="221"/>
    </row>
    <row r="73" spans="1:28" s="38" customFormat="1" ht="47.25" customHeight="1">
      <c r="A73" s="217" t="s">
        <v>14</v>
      </c>
      <c r="B73" s="218"/>
      <c r="C73" s="149">
        <f>SUM(C74:C76)</f>
        <v>159</v>
      </c>
      <c r="D73" s="62">
        <f>SUM(D74:D76)</f>
        <v>332</v>
      </c>
      <c r="E73" s="45">
        <f>SUM(E74:E76)</f>
        <v>491</v>
      </c>
      <c r="F73" s="45">
        <f>E77</f>
        <v>493</v>
      </c>
      <c r="G73" s="42" t="str">
        <f>A77</f>
        <v>KUNDA TRANS</v>
      </c>
      <c r="H73" s="62">
        <f>SUM(H74:H76)</f>
        <v>406</v>
      </c>
      <c r="I73" s="45">
        <f>SUM(I74:I76)</f>
        <v>565</v>
      </c>
      <c r="J73" s="45">
        <f>I85</f>
        <v>535</v>
      </c>
      <c r="K73" s="42" t="str">
        <f>A85</f>
        <v>AVR Projekt</v>
      </c>
      <c r="L73" s="133">
        <f>SUM(L74:L76)</f>
        <v>427</v>
      </c>
      <c r="M73" s="69">
        <f>SUM(M74:M76)</f>
        <v>586</v>
      </c>
      <c r="N73" s="45">
        <f>M69</f>
        <v>553</v>
      </c>
      <c r="O73" s="42" t="str">
        <f>A69</f>
        <v>FEB</v>
      </c>
      <c r="P73" s="45">
        <f>SUM(P74:P76)</f>
        <v>421</v>
      </c>
      <c r="Q73" s="49">
        <f>SUM(Q74:Q76)</f>
        <v>580</v>
      </c>
      <c r="R73" s="45">
        <f>Q65</f>
        <v>502</v>
      </c>
      <c r="S73" s="42" t="str">
        <f>A65</f>
        <v>T.E.M.</v>
      </c>
      <c r="T73" s="133">
        <f>SUM(T74:T76)</f>
        <v>339</v>
      </c>
      <c r="U73" s="69">
        <f>SUM(U74:U76)</f>
        <v>498</v>
      </c>
      <c r="V73" s="45">
        <f>U81</f>
        <v>503</v>
      </c>
      <c r="W73" s="42" t="str">
        <f>A81</f>
        <v>AKAT 2</v>
      </c>
      <c r="X73" s="36">
        <f t="shared" si="2"/>
        <v>2720</v>
      </c>
      <c r="Y73" s="105">
        <f>SUM(Y74:Y76)</f>
        <v>1925</v>
      </c>
      <c r="Z73" s="65">
        <f>AVERAGE(Z74,Z75,Z76)</f>
        <v>181.33333333333334</v>
      </c>
      <c r="AA73" s="142">
        <f>AVERAGE(AA74,AA75,AA76)</f>
        <v>128.33333333333334</v>
      </c>
      <c r="AB73" s="219">
        <f>F74+J74+N74+R74+V74</f>
        <v>3</v>
      </c>
    </row>
    <row r="74" spans="1:28" s="38" customFormat="1" ht="15.75" customHeight="1">
      <c r="A74" s="222" t="s">
        <v>55</v>
      </c>
      <c r="B74" s="223"/>
      <c r="C74" s="150">
        <v>55</v>
      </c>
      <c r="D74" s="59">
        <v>115</v>
      </c>
      <c r="E74" s="50">
        <f>D74+C74</f>
        <v>170</v>
      </c>
      <c r="F74" s="224">
        <v>0</v>
      </c>
      <c r="G74" s="225"/>
      <c r="H74" s="97">
        <v>149</v>
      </c>
      <c r="I74" s="46">
        <f>H74+C74</f>
        <v>204</v>
      </c>
      <c r="J74" s="224">
        <v>1</v>
      </c>
      <c r="K74" s="225"/>
      <c r="L74" s="97">
        <v>137</v>
      </c>
      <c r="M74" s="50">
        <f>L74+C74</f>
        <v>192</v>
      </c>
      <c r="N74" s="224">
        <v>1</v>
      </c>
      <c r="O74" s="225"/>
      <c r="P74" s="97">
        <v>125</v>
      </c>
      <c r="Q74" s="50">
        <f>P74+C74</f>
        <v>180</v>
      </c>
      <c r="R74" s="224">
        <v>1</v>
      </c>
      <c r="S74" s="225"/>
      <c r="T74" s="97">
        <v>125</v>
      </c>
      <c r="U74" s="50">
        <f>T74+C74</f>
        <v>180</v>
      </c>
      <c r="V74" s="224">
        <v>0</v>
      </c>
      <c r="W74" s="225"/>
      <c r="X74" s="46">
        <f t="shared" si="2"/>
        <v>926</v>
      </c>
      <c r="Y74" s="106">
        <f>D74+H74+L74+P74+T74</f>
        <v>651</v>
      </c>
      <c r="Z74" s="67">
        <f>AVERAGE(E74,I74,M74,Q74,U74)</f>
        <v>185.2</v>
      </c>
      <c r="AA74" s="143">
        <f>AVERAGE(E74,I74,M74,Q74,U74)-C74</f>
        <v>130.2</v>
      </c>
      <c r="AB74" s="220"/>
    </row>
    <row r="75" spans="1:28" s="38" customFormat="1" ht="15.75" customHeight="1">
      <c r="A75" s="222" t="s">
        <v>53</v>
      </c>
      <c r="B75" s="223"/>
      <c r="C75" s="150">
        <v>60</v>
      </c>
      <c r="D75" s="59">
        <v>101</v>
      </c>
      <c r="E75" s="50">
        <f>D75+C75</f>
        <v>161</v>
      </c>
      <c r="F75" s="226"/>
      <c r="G75" s="227"/>
      <c r="H75" s="98">
        <v>132</v>
      </c>
      <c r="I75" s="46">
        <f>H75+C75</f>
        <v>192</v>
      </c>
      <c r="J75" s="226"/>
      <c r="K75" s="227"/>
      <c r="L75" s="98">
        <v>131</v>
      </c>
      <c r="M75" s="50">
        <f>L75+C75</f>
        <v>191</v>
      </c>
      <c r="N75" s="226"/>
      <c r="O75" s="227"/>
      <c r="P75" s="98">
        <v>134</v>
      </c>
      <c r="Q75" s="50">
        <f>P75+C75</f>
        <v>194</v>
      </c>
      <c r="R75" s="226"/>
      <c r="S75" s="227"/>
      <c r="T75" s="98">
        <v>113</v>
      </c>
      <c r="U75" s="50">
        <f>T75+C75</f>
        <v>173</v>
      </c>
      <c r="V75" s="226"/>
      <c r="W75" s="227"/>
      <c r="X75" s="46">
        <f t="shared" si="2"/>
        <v>911</v>
      </c>
      <c r="Y75" s="106">
        <f>D75+H75+L75+P75+T75</f>
        <v>611</v>
      </c>
      <c r="Z75" s="67">
        <f>AVERAGE(E75,I75,M75,Q75,U75)</f>
        <v>182.2</v>
      </c>
      <c r="AA75" s="143">
        <f>AVERAGE(E75,I75,M75,Q75,U75)-C75</f>
        <v>122.19999999999999</v>
      </c>
      <c r="AB75" s="220"/>
    </row>
    <row r="76" spans="1:28" s="38" customFormat="1" ht="15.75" customHeight="1" thickBot="1">
      <c r="A76" s="229" t="s">
        <v>54</v>
      </c>
      <c r="B76" s="230"/>
      <c r="C76" s="151">
        <v>44</v>
      </c>
      <c r="D76" s="60">
        <v>116</v>
      </c>
      <c r="E76" s="50">
        <f>D76+C76</f>
        <v>160</v>
      </c>
      <c r="F76" s="204"/>
      <c r="G76" s="228"/>
      <c r="H76" s="99">
        <v>125</v>
      </c>
      <c r="I76" s="46">
        <f>H76+C76</f>
        <v>169</v>
      </c>
      <c r="J76" s="204"/>
      <c r="K76" s="228"/>
      <c r="L76" s="99">
        <v>159</v>
      </c>
      <c r="M76" s="50">
        <f>L76+C76</f>
        <v>203</v>
      </c>
      <c r="N76" s="204"/>
      <c r="O76" s="228"/>
      <c r="P76" s="99">
        <v>162</v>
      </c>
      <c r="Q76" s="50">
        <f>P76+C76</f>
        <v>206</v>
      </c>
      <c r="R76" s="204"/>
      <c r="S76" s="228"/>
      <c r="T76" s="99">
        <v>101</v>
      </c>
      <c r="U76" s="50">
        <f>T76+C76</f>
        <v>145</v>
      </c>
      <c r="V76" s="204"/>
      <c r="W76" s="228"/>
      <c r="X76" s="47">
        <f t="shared" si="2"/>
        <v>883</v>
      </c>
      <c r="Y76" s="107">
        <f>D76+H76+L76+P76+T76</f>
        <v>663</v>
      </c>
      <c r="Z76" s="68">
        <f>AVERAGE(E76,I76,M76,Q76,U76)</f>
        <v>176.6</v>
      </c>
      <c r="AA76" s="144">
        <f>AVERAGE(E76,I76,M76,Q76,U76)-C76</f>
        <v>132.6</v>
      </c>
      <c r="AB76" s="221"/>
    </row>
    <row r="77" spans="1:28" s="38" customFormat="1" ht="39" customHeight="1">
      <c r="A77" s="217" t="s">
        <v>200</v>
      </c>
      <c r="B77" s="218"/>
      <c r="C77" s="149">
        <f>SUM(C78:C80)</f>
        <v>68</v>
      </c>
      <c r="D77" s="62">
        <f>SUM(D78:D80)</f>
        <v>425</v>
      </c>
      <c r="E77" s="45">
        <f>SUM(E78:E80)</f>
        <v>493</v>
      </c>
      <c r="F77" s="45">
        <f>E73</f>
        <v>491</v>
      </c>
      <c r="G77" s="42" t="str">
        <f>A73</f>
        <v>LAJOS 1</v>
      </c>
      <c r="H77" s="62">
        <f>SUM(H78:H80)</f>
        <v>423</v>
      </c>
      <c r="I77" s="45">
        <f>SUM(I78:I80)</f>
        <v>491</v>
      </c>
      <c r="J77" s="45">
        <f>I69</f>
        <v>471</v>
      </c>
      <c r="K77" s="42" t="str">
        <f>A69</f>
        <v>FEB</v>
      </c>
      <c r="L77" s="133">
        <f>SUM(L78:L80)</f>
        <v>440</v>
      </c>
      <c r="M77" s="49">
        <f>SUM(M78:M80)</f>
        <v>508</v>
      </c>
      <c r="N77" s="45">
        <f>M65</f>
        <v>480</v>
      </c>
      <c r="O77" s="42" t="str">
        <f>A65</f>
        <v>T.E.M.</v>
      </c>
      <c r="P77" s="45">
        <f>SUM(P78:P80)</f>
        <v>471</v>
      </c>
      <c r="Q77" s="49">
        <f>SUM(Q78:Q80)</f>
        <v>539</v>
      </c>
      <c r="R77" s="45">
        <f>Q81</f>
        <v>505</v>
      </c>
      <c r="S77" s="42" t="str">
        <f>A81</f>
        <v>AKAT 2</v>
      </c>
      <c r="T77" s="133">
        <f>SUM(T78:T80)</f>
        <v>444</v>
      </c>
      <c r="U77" s="49">
        <f>SUM(U78:U80)</f>
        <v>512</v>
      </c>
      <c r="V77" s="45">
        <f>U85</f>
        <v>588</v>
      </c>
      <c r="W77" s="42" t="str">
        <f>A85</f>
        <v>AVR Projekt</v>
      </c>
      <c r="X77" s="36">
        <f t="shared" si="2"/>
        <v>2543</v>
      </c>
      <c r="Y77" s="105">
        <f>SUM(Y78:Y80)</f>
        <v>2203</v>
      </c>
      <c r="Z77" s="65">
        <f>AVERAGE(Z78,Z79,Z80)</f>
        <v>169.53333333333333</v>
      </c>
      <c r="AA77" s="142">
        <f>AVERAGE(AA78,AA79,AA80)</f>
        <v>146.86666666666667</v>
      </c>
      <c r="AB77" s="219">
        <f>F78+J78+N78+R78+V78</f>
        <v>4</v>
      </c>
    </row>
    <row r="78" spans="1:28" s="38" customFormat="1" ht="15.75" customHeight="1">
      <c r="A78" s="222" t="s">
        <v>215</v>
      </c>
      <c r="B78" s="223"/>
      <c r="C78" s="150">
        <v>9</v>
      </c>
      <c r="D78" s="59">
        <v>169</v>
      </c>
      <c r="E78" s="50">
        <f>D78+C78</f>
        <v>178</v>
      </c>
      <c r="F78" s="224">
        <v>1</v>
      </c>
      <c r="G78" s="225"/>
      <c r="H78" s="97">
        <v>181</v>
      </c>
      <c r="I78" s="46">
        <f>H78+C78</f>
        <v>190</v>
      </c>
      <c r="J78" s="224">
        <v>1</v>
      </c>
      <c r="K78" s="225"/>
      <c r="L78" s="97">
        <v>156</v>
      </c>
      <c r="M78" s="50">
        <f>L78+C78</f>
        <v>165</v>
      </c>
      <c r="N78" s="224">
        <v>1</v>
      </c>
      <c r="O78" s="225"/>
      <c r="P78" s="97">
        <v>173</v>
      </c>
      <c r="Q78" s="50">
        <f>P78+C78</f>
        <v>182</v>
      </c>
      <c r="R78" s="224">
        <v>1</v>
      </c>
      <c r="S78" s="225"/>
      <c r="T78" s="97">
        <v>159</v>
      </c>
      <c r="U78" s="50">
        <f>T78+C78</f>
        <v>168</v>
      </c>
      <c r="V78" s="224">
        <v>0</v>
      </c>
      <c r="W78" s="225"/>
      <c r="X78" s="46">
        <f t="shared" si="2"/>
        <v>883</v>
      </c>
      <c r="Y78" s="106">
        <f>D78+H78+L78+P78+T78</f>
        <v>838</v>
      </c>
      <c r="Z78" s="67">
        <f>AVERAGE(E78,I78,M78,Q78,U78)</f>
        <v>176.6</v>
      </c>
      <c r="AA78" s="143">
        <f>AVERAGE(E78,I78,M78,Q78,U78)-C78</f>
        <v>167.6</v>
      </c>
      <c r="AB78" s="220"/>
    </row>
    <row r="79" spans="1:28" s="38" customFormat="1" ht="15.75" customHeight="1">
      <c r="A79" s="222" t="s">
        <v>216</v>
      </c>
      <c r="B79" s="223"/>
      <c r="C79" s="150">
        <v>25</v>
      </c>
      <c r="D79" s="59">
        <v>142</v>
      </c>
      <c r="E79" s="50">
        <f>D79+C79</f>
        <v>167</v>
      </c>
      <c r="F79" s="226"/>
      <c r="G79" s="227"/>
      <c r="H79" s="98">
        <v>133</v>
      </c>
      <c r="I79" s="46">
        <f>H79+C79</f>
        <v>158</v>
      </c>
      <c r="J79" s="226"/>
      <c r="K79" s="227"/>
      <c r="L79" s="98">
        <v>135</v>
      </c>
      <c r="M79" s="50">
        <f>L79+C79</f>
        <v>160</v>
      </c>
      <c r="N79" s="226"/>
      <c r="O79" s="227"/>
      <c r="P79" s="98">
        <v>165</v>
      </c>
      <c r="Q79" s="50">
        <f>P79+C79</f>
        <v>190</v>
      </c>
      <c r="R79" s="226"/>
      <c r="S79" s="227"/>
      <c r="T79" s="98">
        <v>142</v>
      </c>
      <c r="U79" s="50">
        <f>T79+C79</f>
        <v>167</v>
      </c>
      <c r="V79" s="226"/>
      <c r="W79" s="227"/>
      <c r="X79" s="46">
        <f t="shared" si="2"/>
        <v>842</v>
      </c>
      <c r="Y79" s="106">
        <f>D79+H79+L79+P79+T79</f>
        <v>717</v>
      </c>
      <c r="Z79" s="67">
        <f>AVERAGE(E79,I79,M79,Q79,U79)</f>
        <v>168.4</v>
      </c>
      <c r="AA79" s="143">
        <f>AVERAGE(E79,I79,M79,Q79,U79)-C79</f>
        <v>143.4</v>
      </c>
      <c r="AB79" s="220"/>
    </row>
    <row r="80" spans="1:29" s="38" customFormat="1" ht="15.75" customHeight="1" thickBot="1">
      <c r="A80" s="229" t="s">
        <v>217</v>
      </c>
      <c r="B80" s="230"/>
      <c r="C80" s="151">
        <v>34</v>
      </c>
      <c r="D80" s="60">
        <v>114</v>
      </c>
      <c r="E80" s="50">
        <f>D80+C80</f>
        <v>148</v>
      </c>
      <c r="F80" s="204"/>
      <c r="G80" s="228"/>
      <c r="H80" s="99">
        <v>109</v>
      </c>
      <c r="I80" s="46">
        <f>H80+C80</f>
        <v>143</v>
      </c>
      <c r="J80" s="204"/>
      <c r="K80" s="228"/>
      <c r="L80" s="99">
        <v>149</v>
      </c>
      <c r="M80" s="50">
        <f>L80+C80</f>
        <v>183</v>
      </c>
      <c r="N80" s="204"/>
      <c r="O80" s="228"/>
      <c r="P80" s="99">
        <v>133</v>
      </c>
      <c r="Q80" s="50">
        <f>P80+C80</f>
        <v>167</v>
      </c>
      <c r="R80" s="204"/>
      <c r="S80" s="228"/>
      <c r="T80" s="99">
        <v>143</v>
      </c>
      <c r="U80" s="50">
        <f>T80+C80</f>
        <v>177</v>
      </c>
      <c r="V80" s="204"/>
      <c r="W80" s="228"/>
      <c r="X80" s="47">
        <f t="shared" si="2"/>
        <v>818</v>
      </c>
      <c r="Y80" s="107">
        <f>D80+H80+L80+P80+T80</f>
        <v>648</v>
      </c>
      <c r="Z80" s="68">
        <f>AVERAGE(E80,I80,M80,Q80,U80)</f>
        <v>163.6</v>
      </c>
      <c r="AA80" s="144">
        <f>AVERAGE(E80,I80,M80,Q80,U80)-C80</f>
        <v>129.6</v>
      </c>
      <c r="AB80" s="221"/>
      <c r="AC80" s="44"/>
    </row>
    <row r="81" spans="1:28" s="38" customFormat="1" ht="53.25" customHeight="1">
      <c r="A81" s="217" t="s">
        <v>13</v>
      </c>
      <c r="B81" s="218"/>
      <c r="C81" s="149">
        <f>SUM(C82:C84)</f>
        <v>147</v>
      </c>
      <c r="D81" s="62">
        <f>SUM(D82:D84)</f>
        <v>333</v>
      </c>
      <c r="E81" s="45">
        <f>SUM(E82:E84)</f>
        <v>480</v>
      </c>
      <c r="F81" s="45">
        <f>E69</f>
        <v>547</v>
      </c>
      <c r="G81" s="42" t="str">
        <f>A69</f>
        <v>FEB</v>
      </c>
      <c r="H81" s="62">
        <f>SUM(H82:H84)</f>
        <v>328</v>
      </c>
      <c r="I81" s="45">
        <f>SUM(I82:I84)</f>
        <v>475</v>
      </c>
      <c r="J81" s="45">
        <f>I65</f>
        <v>519</v>
      </c>
      <c r="K81" s="42" t="str">
        <f>A65</f>
        <v>T.E.M.</v>
      </c>
      <c r="L81" s="133">
        <f>SUM(L82:L84)</f>
        <v>348</v>
      </c>
      <c r="M81" s="69">
        <f>SUM(M82:M84)</f>
        <v>495</v>
      </c>
      <c r="N81" s="45">
        <f>M85</f>
        <v>542</v>
      </c>
      <c r="O81" s="42" t="str">
        <f>A85</f>
        <v>AVR Projekt</v>
      </c>
      <c r="P81" s="45">
        <f>SUM(P82:P84)</f>
        <v>358</v>
      </c>
      <c r="Q81" s="69">
        <f>SUM(Q82:Q84)</f>
        <v>505</v>
      </c>
      <c r="R81" s="45">
        <f>Q77</f>
        <v>539</v>
      </c>
      <c r="S81" s="42" t="str">
        <f>A77</f>
        <v>KUNDA TRANS</v>
      </c>
      <c r="T81" s="133">
        <f>SUM(T82:T84)</f>
        <v>356</v>
      </c>
      <c r="U81" s="69">
        <f>SUM(U82:U84)</f>
        <v>503</v>
      </c>
      <c r="V81" s="45">
        <f>U73</f>
        <v>498</v>
      </c>
      <c r="W81" s="42" t="str">
        <f>A73</f>
        <v>LAJOS 1</v>
      </c>
      <c r="X81" s="36">
        <f t="shared" si="2"/>
        <v>2458</v>
      </c>
      <c r="Y81" s="105">
        <f>SUM(Y82:Y84)</f>
        <v>1723</v>
      </c>
      <c r="Z81" s="65">
        <f>AVERAGE(Z82,Z83,Z84)</f>
        <v>163.86666666666667</v>
      </c>
      <c r="AA81" s="142">
        <f>AVERAGE(AA82,AA83,AA84)</f>
        <v>114.86666666666667</v>
      </c>
      <c r="AB81" s="219">
        <f>F82+J82+N82+R82+V82</f>
        <v>1</v>
      </c>
    </row>
    <row r="82" spans="1:28" s="38" customFormat="1" ht="15.75" customHeight="1">
      <c r="A82" s="222" t="s">
        <v>301</v>
      </c>
      <c r="B82" s="223"/>
      <c r="C82" s="150">
        <v>56</v>
      </c>
      <c r="D82" s="59">
        <v>108</v>
      </c>
      <c r="E82" s="50">
        <f>D82+C82</f>
        <v>164</v>
      </c>
      <c r="F82" s="224">
        <v>0</v>
      </c>
      <c r="G82" s="225"/>
      <c r="H82" s="97">
        <v>107</v>
      </c>
      <c r="I82" s="46">
        <f>H82+C82</f>
        <v>163</v>
      </c>
      <c r="J82" s="224">
        <v>0</v>
      </c>
      <c r="K82" s="225"/>
      <c r="L82" s="97">
        <v>77</v>
      </c>
      <c r="M82" s="50">
        <f>L82+C82</f>
        <v>133</v>
      </c>
      <c r="N82" s="224">
        <v>0</v>
      </c>
      <c r="O82" s="225"/>
      <c r="P82" s="97">
        <v>108</v>
      </c>
      <c r="Q82" s="50">
        <f>P82+C82</f>
        <v>164</v>
      </c>
      <c r="R82" s="224">
        <v>0</v>
      </c>
      <c r="S82" s="225"/>
      <c r="T82" s="97">
        <v>106</v>
      </c>
      <c r="U82" s="50">
        <f>T82+C82</f>
        <v>162</v>
      </c>
      <c r="V82" s="224">
        <v>1</v>
      </c>
      <c r="W82" s="225"/>
      <c r="X82" s="46">
        <f t="shared" si="2"/>
        <v>786</v>
      </c>
      <c r="Y82" s="106">
        <f>D82+H82+L82+P82+T82</f>
        <v>506</v>
      </c>
      <c r="Z82" s="67">
        <f>AVERAGE(E82,I82,M82,Q82,U82)</f>
        <v>157.2</v>
      </c>
      <c r="AA82" s="143">
        <f>AVERAGE(E82,I82,M82,Q82,U82)-C82</f>
        <v>101.19999999999999</v>
      </c>
      <c r="AB82" s="220"/>
    </row>
    <row r="83" spans="1:28" s="38" customFormat="1" ht="15.75" customHeight="1">
      <c r="A83" s="222" t="s">
        <v>56</v>
      </c>
      <c r="B83" s="223"/>
      <c r="C83" s="150">
        <v>37</v>
      </c>
      <c r="D83" s="59">
        <v>125</v>
      </c>
      <c r="E83" s="50">
        <f>D83+C83</f>
        <v>162</v>
      </c>
      <c r="F83" s="226"/>
      <c r="G83" s="227"/>
      <c r="H83" s="98">
        <v>126</v>
      </c>
      <c r="I83" s="46">
        <f>H83+C83</f>
        <v>163</v>
      </c>
      <c r="J83" s="226"/>
      <c r="K83" s="227"/>
      <c r="L83" s="98">
        <v>129</v>
      </c>
      <c r="M83" s="50">
        <f>L83+C83</f>
        <v>166</v>
      </c>
      <c r="N83" s="226"/>
      <c r="O83" s="227"/>
      <c r="P83" s="98">
        <v>146</v>
      </c>
      <c r="Q83" s="50">
        <f>P83+C83</f>
        <v>183</v>
      </c>
      <c r="R83" s="226"/>
      <c r="S83" s="227"/>
      <c r="T83" s="98">
        <v>104</v>
      </c>
      <c r="U83" s="50">
        <f>T83+C83</f>
        <v>141</v>
      </c>
      <c r="V83" s="226"/>
      <c r="W83" s="227"/>
      <c r="X83" s="46">
        <f t="shared" si="2"/>
        <v>815</v>
      </c>
      <c r="Y83" s="106">
        <f>D83+H83+L83+P83+T83</f>
        <v>630</v>
      </c>
      <c r="Z83" s="67">
        <f>AVERAGE(E83,I83,M83,Q83,U83)</f>
        <v>163</v>
      </c>
      <c r="AA83" s="143">
        <f>AVERAGE(E83,I83,M83,Q83,U83)-C83</f>
        <v>126</v>
      </c>
      <c r="AB83" s="220"/>
    </row>
    <row r="84" spans="1:28" s="38" customFormat="1" ht="15.75" customHeight="1" thickBot="1">
      <c r="A84" s="229" t="s">
        <v>58</v>
      </c>
      <c r="B84" s="230"/>
      <c r="C84" s="151">
        <v>54</v>
      </c>
      <c r="D84" s="60">
        <v>100</v>
      </c>
      <c r="E84" s="50">
        <f>D84+C84</f>
        <v>154</v>
      </c>
      <c r="F84" s="204"/>
      <c r="G84" s="228"/>
      <c r="H84" s="99">
        <v>95</v>
      </c>
      <c r="I84" s="46">
        <f>H84+C84</f>
        <v>149</v>
      </c>
      <c r="J84" s="204"/>
      <c r="K84" s="228"/>
      <c r="L84" s="99">
        <v>142</v>
      </c>
      <c r="M84" s="50">
        <f>L84+C84</f>
        <v>196</v>
      </c>
      <c r="N84" s="204"/>
      <c r="O84" s="228"/>
      <c r="P84" s="99">
        <v>104</v>
      </c>
      <c r="Q84" s="50">
        <f>P84+C84</f>
        <v>158</v>
      </c>
      <c r="R84" s="204"/>
      <c r="S84" s="228"/>
      <c r="T84" s="99">
        <v>146</v>
      </c>
      <c r="U84" s="50">
        <f>T84+C84</f>
        <v>200</v>
      </c>
      <c r="V84" s="204"/>
      <c r="W84" s="228"/>
      <c r="X84" s="47">
        <f t="shared" si="2"/>
        <v>857</v>
      </c>
      <c r="Y84" s="107">
        <f>D84+H84+L84+P84+T84</f>
        <v>587</v>
      </c>
      <c r="Z84" s="68">
        <f>AVERAGE(E84,I84,M84,Q84,U84)</f>
        <v>171.4</v>
      </c>
      <c r="AA84" s="144">
        <f>AVERAGE(E84,I84,M84,Q84,U84)-C84</f>
        <v>117.4</v>
      </c>
      <c r="AB84" s="221"/>
    </row>
    <row r="85" spans="1:28" s="38" customFormat="1" ht="42" customHeight="1">
      <c r="A85" s="217" t="s">
        <v>163</v>
      </c>
      <c r="B85" s="218"/>
      <c r="C85" s="149">
        <f>SUM(C86:C88)</f>
        <v>176</v>
      </c>
      <c r="D85" s="62">
        <f>SUM(D86:D88)</f>
        <v>360</v>
      </c>
      <c r="E85" s="45">
        <f>SUM(E86:E88)</f>
        <v>536</v>
      </c>
      <c r="F85" s="45">
        <f>E65</f>
        <v>488</v>
      </c>
      <c r="G85" s="42" t="str">
        <f>A65</f>
        <v>T.E.M.</v>
      </c>
      <c r="H85" s="62">
        <f>SUM(H86:H88)</f>
        <v>359</v>
      </c>
      <c r="I85" s="45">
        <f>SUM(I86:I88)</f>
        <v>535</v>
      </c>
      <c r="J85" s="45">
        <f>I73</f>
        <v>565</v>
      </c>
      <c r="K85" s="42" t="str">
        <f>A73</f>
        <v>LAJOS 1</v>
      </c>
      <c r="L85" s="133">
        <f>SUM(L86:L88)</f>
        <v>366</v>
      </c>
      <c r="M85" s="49">
        <f>SUM(M86:M88)</f>
        <v>542</v>
      </c>
      <c r="N85" s="45">
        <f>M81</f>
        <v>495</v>
      </c>
      <c r="O85" s="42" t="str">
        <f>A81</f>
        <v>AKAT 2</v>
      </c>
      <c r="P85" s="45">
        <f>SUM(P86:P88)</f>
        <v>391</v>
      </c>
      <c r="Q85" s="49">
        <f>SUM(Q86:Q88)</f>
        <v>567</v>
      </c>
      <c r="R85" s="45">
        <f>Q69</f>
        <v>515</v>
      </c>
      <c r="S85" s="42" t="str">
        <f>A69</f>
        <v>FEB</v>
      </c>
      <c r="T85" s="133">
        <f>SUM(T86:T88)</f>
        <v>412</v>
      </c>
      <c r="U85" s="49">
        <f>SUM(U86:U88)</f>
        <v>588</v>
      </c>
      <c r="V85" s="45">
        <f>U77</f>
        <v>512</v>
      </c>
      <c r="W85" s="42" t="str">
        <f>A77</f>
        <v>KUNDA TRANS</v>
      </c>
      <c r="X85" s="36">
        <f t="shared" si="2"/>
        <v>2768</v>
      </c>
      <c r="Y85" s="105">
        <f>SUM(Y86:Y88)</f>
        <v>1888</v>
      </c>
      <c r="Z85" s="65">
        <f>AVERAGE(Z86,Z87,Z88)</f>
        <v>184.5333333333333</v>
      </c>
      <c r="AA85" s="142">
        <f>AVERAGE(AA86,AA87,AA88)</f>
        <v>125.86666666666666</v>
      </c>
      <c r="AB85" s="219">
        <f>F86+J86+N86+R86+V86</f>
        <v>4</v>
      </c>
    </row>
    <row r="86" spans="1:28" s="38" customFormat="1" ht="15.75" customHeight="1">
      <c r="A86" s="222" t="s">
        <v>156</v>
      </c>
      <c r="B86" s="223"/>
      <c r="C86" s="150">
        <v>60</v>
      </c>
      <c r="D86" s="59">
        <v>88</v>
      </c>
      <c r="E86" s="50">
        <f>D86+C86</f>
        <v>148</v>
      </c>
      <c r="F86" s="224">
        <v>1</v>
      </c>
      <c r="G86" s="225"/>
      <c r="H86" s="97">
        <v>124</v>
      </c>
      <c r="I86" s="46">
        <f>H86+C86</f>
        <v>184</v>
      </c>
      <c r="J86" s="224">
        <v>0</v>
      </c>
      <c r="K86" s="225"/>
      <c r="L86" s="97">
        <v>84</v>
      </c>
      <c r="M86" s="50">
        <f>L86+C86</f>
        <v>144</v>
      </c>
      <c r="N86" s="224">
        <v>1</v>
      </c>
      <c r="O86" s="225"/>
      <c r="P86" s="97">
        <v>92</v>
      </c>
      <c r="Q86" s="50">
        <f>P86+C86</f>
        <v>152</v>
      </c>
      <c r="R86" s="224">
        <v>1</v>
      </c>
      <c r="S86" s="225"/>
      <c r="T86" s="97">
        <v>98</v>
      </c>
      <c r="U86" s="50">
        <f>T86+C86</f>
        <v>158</v>
      </c>
      <c r="V86" s="224">
        <v>1</v>
      </c>
      <c r="W86" s="225"/>
      <c r="X86" s="46">
        <f t="shared" si="2"/>
        <v>786</v>
      </c>
      <c r="Y86" s="106">
        <f>D86+H86+L86+P86+T86</f>
        <v>486</v>
      </c>
      <c r="Z86" s="67">
        <f>AVERAGE(E86,I86,M86,Q86,U86)</f>
        <v>157.2</v>
      </c>
      <c r="AA86" s="143">
        <f>AVERAGE(E86,I86,M86,Q86,U86)-C86</f>
        <v>97.19999999999999</v>
      </c>
      <c r="AB86" s="220"/>
    </row>
    <row r="87" spans="1:28" s="38" customFormat="1" ht="15.75" customHeight="1">
      <c r="A87" s="222" t="s">
        <v>157</v>
      </c>
      <c r="B87" s="223"/>
      <c r="C87" s="150">
        <v>56</v>
      </c>
      <c r="D87" s="59">
        <v>143</v>
      </c>
      <c r="E87" s="50">
        <f>D87+C87</f>
        <v>199</v>
      </c>
      <c r="F87" s="226"/>
      <c r="G87" s="227"/>
      <c r="H87" s="98">
        <v>109</v>
      </c>
      <c r="I87" s="46">
        <f>H87+C87</f>
        <v>165</v>
      </c>
      <c r="J87" s="226"/>
      <c r="K87" s="227"/>
      <c r="L87" s="98">
        <v>106</v>
      </c>
      <c r="M87" s="50">
        <f>L87+C87</f>
        <v>162</v>
      </c>
      <c r="N87" s="226"/>
      <c r="O87" s="227"/>
      <c r="P87" s="98">
        <v>151</v>
      </c>
      <c r="Q87" s="50">
        <f>P87+C87</f>
        <v>207</v>
      </c>
      <c r="R87" s="226"/>
      <c r="S87" s="227"/>
      <c r="T87" s="98">
        <v>162</v>
      </c>
      <c r="U87" s="50">
        <f>T87+C87</f>
        <v>218</v>
      </c>
      <c r="V87" s="226"/>
      <c r="W87" s="227"/>
      <c r="X87" s="46">
        <f t="shared" si="2"/>
        <v>951</v>
      </c>
      <c r="Y87" s="106">
        <f>D87+H87+L87+P87+T87</f>
        <v>671</v>
      </c>
      <c r="Z87" s="67">
        <f>AVERAGE(E87,I87,M87,Q87,U87)</f>
        <v>190.2</v>
      </c>
      <c r="AA87" s="143">
        <f>AVERAGE(E87,I87,M87,Q87,U87)-C87</f>
        <v>134.2</v>
      </c>
      <c r="AB87" s="220"/>
    </row>
    <row r="88" spans="1:28" s="38" customFormat="1" ht="15.75" customHeight="1" thickBot="1">
      <c r="A88" s="229" t="s">
        <v>158</v>
      </c>
      <c r="B88" s="230"/>
      <c r="C88" s="151">
        <v>60</v>
      </c>
      <c r="D88" s="60">
        <v>129</v>
      </c>
      <c r="E88" s="50">
        <f>D88+C88</f>
        <v>189</v>
      </c>
      <c r="F88" s="204"/>
      <c r="G88" s="228"/>
      <c r="H88" s="99">
        <v>126</v>
      </c>
      <c r="I88" s="46">
        <f>H88+C88</f>
        <v>186</v>
      </c>
      <c r="J88" s="204"/>
      <c r="K88" s="228"/>
      <c r="L88" s="99">
        <v>176</v>
      </c>
      <c r="M88" s="50">
        <f>L88+C88</f>
        <v>236</v>
      </c>
      <c r="N88" s="204"/>
      <c r="O88" s="228"/>
      <c r="P88" s="99">
        <v>148</v>
      </c>
      <c r="Q88" s="50">
        <f>P88+C88</f>
        <v>208</v>
      </c>
      <c r="R88" s="204"/>
      <c r="S88" s="228"/>
      <c r="T88" s="99">
        <v>152</v>
      </c>
      <c r="U88" s="50">
        <f>T88+C88</f>
        <v>212</v>
      </c>
      <c r="V88" s="204"/>
      <c r="W88" s="228"/>
      <c r="X88" s="47">
        <f t="shared" si="2"/>
        <v>1031</v>
      </c>
      <c r="Y88" s="107">
        <f>D88+H88+L88+P88+T88</f>
        <v>731</v>
      </c>
      <c r="Z88" s="68">
        <f>AVERAGE(E88,I88,M88,Q88,U88)</f>
        <v>206.2</v>
      </c>
      <c r="AA88" s="144">
        <f>AVERAGE(E88,I88,M88,Q88,U88)-C88</f>
        <v>146.2</v>
      </c>
      <c r="AB88" s="221"/>
    </row>
    <row r="89" spans="1:28" s="40" customFormat="1" ht="9" customHeight="1">
      <c r="A89" s="207" t="s">
        <v>326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4"/>
      <c r="W89" s="25"/>
      <c r="Y89" s="57"/>
      <c r="Z89" s="41"/>
      <c r="AA89" s="139"/>
      <c r="AB89" s="25"/>
    </row>
    <row r="90" spans="1:28" s="40" customFormat="1" ht="6" customHeight="1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4"/>
      <c r="W90" s="25"/>
      <c r="Y90" s="57"/>
      <c r="Z90" s="41"/>
      <c r="AA90" s="139"/>
      <c r="AB90" s="25"/>
    </row>
    <row r="91" spans="1:28" s="40" customFormat="1" ht="23.2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5"/>
      <c r="W91" s="25"/>
      <c r="Y91" s="57"/>
      <c r="Z91" s="41"/>
      <c r="AA91" s="139"/>
      <c r="AB91" s="25"/>
    </row>
    <row r="92" spans="1:28" s="31" customFormat="1" ht="15.75" customHeight="1">
      <c r="A92" s="209" t="s">
        <v>0</v>
      </c>
      <c r="B92" s="210"/>
      <c r="C92" s="147" t="s">
        <v>39</v>
      </c>
      <c r="D92" s="55"/>
      <c r="E92" s="27" t="s">
        <v>1</v>
      </c>
      <c r="F92" s="211" t="s">
        <v>2</v>
      </c>
      <c r="G92" s="212"/>
      <c r="H92" s="94"/>
      <c r="I92" s="27" t="s">
        <v>3</v>
      </c>
      <c r="J92" s="211" t="s">
        <v>2</v>
      </c>
      <c r="K92" s="212"/>
      <c r="L92" s="94"/>
      <c r="M92" s="27" t="s">
        <v>4</v>
      </c>
      <c r="N92" s="211" t="s">
        <v>2</v>
      </c>
      <c r="O92" s="212"/>
      <c r="P92" s="94"/>
      <c r="Q92" s="27" t="s">
        <v>5</v>
      </c>
      <c r="R92" s="211" t="s">
        <v>2</v>
      </c>
      <c r="S92" s="212"/>
      <c r="T92" s="94"/>
      <c r="U92" s="27" t="s">
        <v>6</v>
      </c>
      <c r="V92" s="211" t="s">
        <v>2</v>
      </c>
      <c r="W92" s="212"/>
      <c r="X92" s="28" t="s">
        <v>7</v>
      </c>
      <c r="Y92" s="104"/>
      <c r="Z92" s="29" t="s">
        <v>40</v>
      </c>
      <c r="AA92" s="140" t="s">
        <v>42</v>
      </c>
      <c r="AB92" s="30" t="s">
        <v>7</v>
      </c>
    </row>
    <row r="93" spans="1:28" s="31" customFormat="1" ht="15.75" customHeight="1" thickBot="1">
      <c r="A93" s="213" t="s">
        <v>9</v>
      </c>
      <c r="B93" s="214"/>
      <c r="C93" s="148"/>
      <c r="D93" s="56"/>
      <c r="E93" s="32" t="s">
        <v>10</v>
      </c>
      <c r="F93" s="211" t="s">
        <v>11</v>
      </c>
      <c r="G93" s="212"/>
      <c r="H93" s="95"/>
      <c r="I93" s="32" t="s">
        <v>10</v>
      </c>
      <c r="J93" s="215" t="s">
        <v>11</v>
      </c>
      <c r="K93" s="216"/>
      <c r="L93" s="95"/>
      <c r="M93" s="32" t="s">
        <v>10</v>
      </c>
      <c r="N93" s="215" t="s">
        <v>11</v>
      </c>
      <c r="O93" s="216"/>
      <c r="P93" s="95"/>
      <c r="Q93" s="32" t="s">
        <v>10</v>
      </c>
      <c r="R93" s="215" t="s">
        <v>11</v>
      </c>
      <c r="S93" s="216"/>
      <c r="T93" s="95"/>
      <c r="U93" s="32" t="s">
        <v>10</v>
      </c>
      <c r="V93" s="215" t="s">
        <v>11</v>
      </c>
      <c r="W93" s="216"/>
      <c r="X93" s="33" t="s">
        <v>10</v>
      </c>
      <c r="Y93" s="134" t="s">
        <v>287</v>
      </c>
      <c r="Z93" s="34" t="s">
        <v>41</v>
      </c>
      <c r="AA93" s="141" t="s">
        <v>43</v>
      </c>
      <c r="AB93" s="35" t="s">
        <v>12</v>
      </c>
    </row>
    <row r="94" spans="1:28" s="38" customFormat="1" ht="42" customHeight="1">
      <c r="A94" s="217" t="s">
        <v>324</v>
      </c>
      <c r="B94" s="218"/>
      <c r="C94" s="149">
        <f>SUM(C95:C97)</f>
        <v>86</v>
      </c>
      <c r="D94" s="62">
        <f>SUM(D95:D97)</f>
        <v>470</v>
      </c>
      <c r="E94" s="63">
        <f>SUM(E95:E97)</f>
        <v>556</v>
      </c>
      <c r="F94" s="46">
        <f>E114</f>
        <v>425</v>
      </c>
      <c r="G94" s="64" t="str">
        <f>A114</f>
        <v>Lajos 2</v>
      </c>
      <c r="H94" s="62">
        <f>SUM(H95:H97)</f>
        <v>443</v>
      </c>
      <c r="I94" s="49">
        <f>SUM(I95:I97)</f>
        <v>529</v>
      </c>
      <c r="J94" s="49">
        <f>I110</f>
        <v>575</v>
      </c>
      <c r="K94" s="42" t="str">
        <f>A110</f>
        <v>Rakvere Soojus</v>
      </c>
      <c r="L94" s="58">
        <f>SUM(L95:L97)</f>
        <v>426</v>
      </c>
      <c r="M94" s="45">
        <f>SUM(M95:M97)</f>
        <v>512</v>
      </c>
      <c r="N94" s="45">
        <f>M106</f>
        <v>554</v>
      </c>
      <c r="O94" s="42" t="str">
        <f>A106</f>
        <v>Vest-Wood 1</v>
      </c>
      <c r="P94" s="45">
        <f>SUM(P95:P97)</f>
        <v>409</v>
      </c>
      <c r="Q94" s="45">
        <f>SUM(Q95:Q97)</f>
        <v>495</v>
      </c>
      <c r="R94" s="45">
        <f>Q102</f>
        <v>505</v>
      </c>
      <c r="S94" s="42" t="str">
        <f>A102</f>
        <v>A.E.J.</v>
      </c>
      <c r="T94" s="133">
        <f>SUM(T95:T97)</f>
        <v>475</v>
      </c>
      <c r="U94" s="45">
        <f>SUM(U95:U97)</f>
        <v>561</v>
      </c>
      <c r="V94" s="45">
        <f>U98</f>
        <v>563</v>
      </c>
      <c r="W94" s="42" t="str">
        <f>A98</f>
        <v>Näpi Saeveski</v>
      </c>
      <c r="X94" s="36">
        <f aca="true" t="shared" si="3" ref="X94:X117">E94+I94+M94+Q94+U94</f>
        <v>2653</v>
      </c>
      <c r="Y94" s="105">
        <f>SUM(Y95:Y97)</f>
        <v>2223</v>
      </c>
      <c r="Z94" s="37">
        <f>AVERAGE(Z95,Z96,Z97)</f>
        <v>176.86666666666667</v>
      </c>
      <c r="AA94" s="142">
        <f>AVERAGE(AA95,AA96,AA97)</f>
        <v>148.20000000000002</v>
      </c>
      <c r="AB94" s="219">
        <f>F95+J95+N95+R95+V95</f>
        <v>1</v>
      </c>
    </row>
    <row r="95" spans="1:28" s="38" customFormat="1" ht="15.75" customHeight="1">
      <c r="A95" s="222" t="s">
        <v>214</v>
      </c>
      <c r="B95" s="223"/>
      <c r="C95" s="150">
        <v>31</v>
      </c>
      <c r="D95" s="59">
        <v>179</v>
      </c>
      <c r="E95" s="50">
        <f>C95+D95</f>
        <v>210</v>
      </c>
      <c r="F95" s="224">
        <v>1</v>
      </c>
      <c r="G95" s="225"/>
      <c r="H95" s="97">
        <v>173</v>
      </c>
      <c r="I95" s="46">
        <f>H95+C95</f>
        <v>204</v>
      </c>
      <c r="J95" s="224">
        <v>0</v>
      </c>
      <c r="K95" s="225"/>
      <c r="L95" s="97">
        <v>121</v>
      </c>
      <c r="M95" s="50">
        <f>L95+C95</f>
        <v>152</v>
      </c>
      <c r="N95" s="224">
        <v>0</v>
      </c>
      <c r="O95" s="225"/>
      <c r="P95" s="97">
        <v>164</v>
      </c>
      <c r="Q95" s="50">
        <f>P95+C95</f>
        <v>195</v>
      </c>
      <c r="R95" s="224">
        <v>0</v>
      </c>
      <c r="S95" s="225"/>
      <c r="T95" s="97">
        <v>172</v>
      </c>
      <c r="U95" s="50">
        <f>T95+C95</f>
        <v>203</v>
      </c>
      <c r="V95" s="224">
        <v>0</v>
      </c>
      <c r="W95" s="225"/>
      <c r="X95" s="46">
        <f t="shared" si="3"/>
        <v>964</v>
      </c>
      <c r="Y95" s="106">
        <f>D95+H95+L95+P95+T95</f>
        <v>809</v>
      </c>
      <c r="Z95" s="67">
        <f>AVERAGE(E95,I95,M95,Q95,U95)</f>
        <v>192.8</v>
      </c>
      <c r="AA95" s="143">
        <f>AVERAGE(E95,I95,M95,Q95,U95)-C95</f>
        <v>161.8</v>
      </c>
      <c r="AB95" s="220"/>
    </row>
    <row r="96" spans="1:28" s="38" customFormat="1" ht="15.75" customHeight="1">
      <c r="A96" s="222" t="s">
        <v>212</v>
      </c>
      <c r="B96" s="223"/>
      <c r="C96" s="150">
        <v>18</v>
      </c>
      <c r="D96" s="59">
        <v>194</v>
      </c>
      <c r="E96" s="50">
        <f>C96+D96</f>
        <v>212</v>
      </c>
      <c r="F96" s="226"/>
      <c r="G96" s="227"/>
      <c r="H96" s="98">
        <v>138</v>
      </c>
      <c r="I96" s="46">
        <f>H96+C96</f>
        <v>156</v>
      </c>
      <c r="J96" s="226"/>
      <c r="K96" s="227"/>
      <c r="L96" s="98">
        <v>158</v>
      </c>
      <c r="M96" s="50">
        <f>L96+C96</f>
        <v>176</v>
      </c>
      <c r="N96" s="226"/>
      <c r="O96" s="227"/>
      <c r="P96" s="98">
        <v>132</v>
      </c>
      <c r="Q96" s="50">
        <f>P96+C96</f>
        <v>150</v>
      </c>
      <c r="R96" s="226"/>
      <c r="S96" s="227"/>
      <c r="T96" s="98">
        <v>155</v>
      </c>
      <c r="U96" s="50">
        <f>T96+C96</f>
        <v>173</v>
      </c>
      <c r="V96" s="226"/>
      <c r="W96" s="227"/>
      <c r="X96" s="46">
        <f t="shared" si="3"/>
        <v>867</v>
      </c>
      <c r="Y96" s="106">
        <f>D96+H96+L96+P96+T96</f>
        <v>777</v>
      </c>
      <c r="Z96" s="67">
        <f>AVERAGE(E96,I96,M96,Q96,U96)</f>
        <v>173.4</v>
      </c>
      <c r="AA96" s="143">
        <f>AVERAGE(E96,I96,M96,Q96,U96)-C96</f>
        <v>155.4</v>
      </c>
      <c r="AB96" s="220"/>
    </row>
    <row r="97" spans="1:28" s="38" customFormat="1" ht="16.5" customHeight="1" thickBot="1">
      <c r="A97" s="229" t="s">
        <v>278</v>
      </c>
      <c r="B97" s="230"/>
      <c r="C97" s="151">
        <v>37</v>
      </c>
      <c r="D97" s="60">
        <v>97</v>
      </c>
      <c r="E97" s="50">
        <f>C97+D97</f>
        <v>134</v>
      </c>
      <c r="F97" s="204"/>
      <c r="G97" s="228"/>
      <c r="H97" s="99">
        <v>132</v>
      </c>
      <c r="I97" s="46">
        <f>H97+C97</f>
        <v>169</v>
      </c>
      <c r="J97" s="204"/>
      <c r="K97" s="228"/>
      <c r="L97" s="99">
        <v>147</v>
      </c>
      <c r="M97" s="50">
        <f>L97+C97</f>
        <v>184</v>
      </c>
      <c r="N97" s="204"/>
      <c r="O97" s="228"/>
      <c r="P97" s="99">
        <v>113</v>
      </c>
      <c r="Q97" s="50">
        <f>P97+C97</f>
        <v>150</v>
      </c>
      <c r="R97" s="204"/>
      <c r="S97" s="228"/>
      <c r="T97" s="99">
        <v>148</v>
      </c>
      <c r="U97" s="50">
        <f>T97+C97</f>
        <v>185</v>
      </c>
      <c r="V97" s="204"/>
      <c r="W97" s="228"/>
      <c r="X97" s="47">
        <f t="shared" si="3"/>
        <v>822</v>
      </c>
      <c r="Y97" s="107">
        <f>D97+H97+L97+P97+T97</f>
        <v>637</v>
      </c>
      <c r="Z97" s="68">
        <f>AVERAGE(E97,I97,M97,Q97,U97)</f>
        <v>164.4</v>
      </c>
      <c r="AA97" s="144">
        <f>AVERAGE(E97,I97,M97,Q97,U97)-C97</f>
        <v>127.4</v>
      </c>
      <c r="AB97" s="221"/>
    </row>
    <row r="98" spans="1:28" s="38" customFormat="1" ht="41.25" customHeight="1">
      <c r="A98" s="217" t="s">
        <v>226</v>
      </c>
      <c r="B98" s="218"/>
      <c r="C98" s="149">
        <f>SUM(C99:C101)</f>
        <v>86</v>
      </c>
      <c r="D98" s="62">
        <f>SUM(D99:D101)</f>
        <v>436</v>
      </c>
      <c r="E98" s="45">
        <f>SUM(E99:E101)</f>
        <v>522</v>
      </c>
      <c r="F98" s="45">
        <f>E110</f>
        <v>515</v>
      </c>
      <c r="G98" s="42" t="str">
        <f>A110</f>
        <v>Rakvere Soojus</v>
      </c>
      <c r="H98" s="62">
        <f>SUM(H99:H101)</f>
        <v>429</v>
      </c>
      <c r="I98" s="45">
        <f>SUM(I99:I101)</f>
        <v>515</v>
      </c>
      <c r="J98" s="45">
        <f>I106</f>
        <v>520</v>
      </c>
      <c r="K98" s="42" t="str">
        <f>A106</f>
        <v>Vest-Wood 1</v>
      </c>
      <c r="L98" s="133">
        <f>SUM(L99:L101)</f>
        <v>410</v>
      </c>
      <c r="M98" s="49">
        <f>SUM(M99:M101)</f>
        <v>496</v>
      </c>
      <c r="N98" s="45">
        <f>M102</f>
        <v>558</v>
      </c>
      <c r="O98" s="42" t="str">
        <f>A102</f>
        <v>A.E.J.</v>
      </c>
      <c r="P98" s="45">
        <f>SUM(P99:P101)</f>
        <v>453</v>
      </c>
      <c r="Q98" s="49">
        <f>SUM(Q99:Q101)</f>
        <v>539</v>
      </c>
      <c r="R98" s="45">
        <f>Q114</f>
        <v>561</v>
      </c>
      <c r="S98" s="42" t="str">
        <f>A114</f>
        <v>Lajos 2</v>
      </c>
      <c r="T98" s="133">
        <f>SUM(T99:T101)</f>
        <v>477</v>
      </c>
      <c r="U98" s="49">
        <f>SUM(U99:U101)</f>
        <v>563</v>
      </c>
      <c r="V98" s="45">
        <f>U94</f>
        <v>561</v>
      </c>
      <c r="W98" s="42" t="str">
        <f>A94</f>
        <v>Penn&amp; Pärlin</v>
      </c>
      <c r="X98" s="36">
        <f t="shared" si="3"/>
        <v>2635</v>
      </c>
      <c r="Y98" s="105">
        <f>SUM(Y99:Y101)</f>
        <v>2205</v>
      </c>
      <c r="Z98" s="65">
        <f>AVERAGE(Z99,Z100,Z101)</f>
        <v>175.66666666666666</v>
      </c>
      <c r="AA98" s="142">
        <f>AVERAGE(AA99,AA100,AA101)</f>
        <v>147</v>
      </c>
      <c r="AB98" s="219">
        <f>F99+J99+N99+R99+V99</f>
        <v>2</v>
      </c>
    </row>
    <row r="99" spans="1:28" s="38" customFormat="1" ht="15.75" customHeight="1">
      <c r="A99" s="222" t="s">
        <v>206</v>
      </c>
      <c r="B99" s="223"/>
      <c r="C99" s="150">
        <v>24</v>
      </c>
      <c r="D99" s="59">
        <v>114</v>
      </c>
      <c r="E99" s="50">
        <f>C99+D99</f>
        <v>138</v>
      </c>
      <c r="F99" s="224">
        <v>1</v>
      </c>
      <c r="G99" s="225"/>
      <c r="H99" s="97">
        <v>184</v>
      </c>
      <c r="I99" s="46">
        <f>H99+C99</f>
        <v>208</v>
      </c>
      <c r="J99" s="224">
        <v>0</v>
      </c>
      <c r="K99" s="225"/>
      <c r="L99" s="97">
        <v>136</v>
      </c>
      <c r="M99" s="50">
        <f>L99+C99</f>
        <v>160</v>
      </c>
      <c r="N99" s="224">
        <v>0</v>
      </c>
      <c r="O99" s="225"/>
      <c r="P99" s="97">
        <v>138</v>
      </c>
      <c r="Q99" s="50">
        <f>P99+C99</f>
        <v>162</v>
      </c>
      <c r="R99" s="224">
        <v>0</v>
      </c>
      <c r="S99" s="225"/>
      <c r="T99" s="97">
        <v>157</v>
      </c>
      <c r="U99" s="50">
        <f>T99+C99</f>
        <v>181</v>
      </c>
      <c r="V99" s="224">
        <v>1</v>
      </c>
      <c r="W99" s="225"/>
      <c r="X99" s="46">
        <f t="shared" si="3"/>
        <v>849</v>
      </c>
      <c r="Y99" s="106">
        <f>D99+H99+L99+P99+T99</f>
        <v>729</v>
      </c>
      <c r="Z99" s="67">
        <f>AVERAGE(E99,I99,M99,Q99,U99)</f>
        <v>169.8</v>
      </c>
      <c r="AA99" s="143">
        <f>AVERAGE(E99,I99,M99,Q99,U99)-C99</f>
        <v>145.8</v>
      </c>
      <c r="AB99" s="220"/>
    </row>
    <row r="100" spans="1:28" s="38" customFormat="1" ht="15.75" customHeight="1">
      <c r="A100" s="222" t="s">
        <v>306</v>
      </c>
      <c r="B100" s="223"/>
      <c r="C100" s="150">
        <v>22</v>
      </c>
      <c r="D100" s="59">
        <v>167</v>
      </c>
      <c r="E100" s="50">
        <f>C100+D100</f>
        <v>189</v>
      </c>
      <c r="F100" s="226"/>
      <c r="G100" s="227"/>
      <c r="H100" s="98">
        <v>124</v>
      </c>
      <c r="I100" s="46">
        <f>H100+C100</f>
        <v>146</v>
      </c>
      <c r="J100" s="226"/>
      <c r="K100" s="227"/>
      <c r="L100" s="98">
        <v>136</v>
      </c>
      <c r="M100" s="50">
        <f>L100+C100</f>
        <v>158</v>
      </c>
      <c r="N100" s="226"/>
      <c r="O100" s="227"/>
      <c r="P100" s="98">
        <v>176</v>
      </c>
      <c r="Q100" s="50">
        <f>P100+C100</f>
        <v>198</v>
      </c>
      <c r="R100" s="226"/>
      <c r="S100" s="227"/>
      <c r="T100" s="98">
        <v>163</v>
      </c>
      <c r="U100" s="50">
        <f>T100+C100</f>
        <v>185</v>
      </c>
      <c r="V100" s="226"/>
      <c r="W100" s="227"/>
      <c r="X100" s="46">
        <f t="shared" si="3"/>
        <v>876</v>
      </c>
      <c r="Y100" s="106">
        <f>D100+H100+L100+P100+T100</f>
        <v>766</v>
      </c>
      <c r="Z100" s="67">
        <f>AVERAGE(E100,I100,M100,Q100,U100)</f>
        <v>175.2</v>
      </c>
      <c r="AA100" s="143">
        <f>AVERAGE(E100,I100,M100,Q100,U100)-C100</f>
        <v>153.2</v>
      </c>
      <c r="AB100" s="220"/>
    </row>
    <row r="101" spans="1:28" s="38" customFormat="1" ht="15.75" customHeight="1" thickBot="1">
      <c r="A101" s="229" t="s">
        <v>290</v>
      </c>
      <c r="B101" s="230"/>
      <c r="C101" s="151">
        <v>40</v>
      </c>
      <c r="D101" s="60">
        <v>155</v>
      </c>
      <c r="E101" s="50">
        <f>C101+D101</f>
        <v>195</v>
      </c>
      <c r="F101" s="204"/>
      <c r="G101" s="228"/>
      <c r="H101" s="99">
        <v>121</v>
      </c>
      <c r="I101" s="46">
        <f>H101+C101</f>
        <v>161</v>
      </c>
      <c r="J101" s="204"/>
      <c r="K101" s="228"/>
      <c r="L101" s="99">
        <v>138</v>
      </c>
      <c r="M101" s="50">
        <f>L101+C101</f>
        <v>178</v>
      </c>
      <c r="N101" s="204"/>
      <c r="O101" s="228"/>
      <c r="P101" s="99">
        <v>139</v>
      </c>
      <c r="Q101" s="50">
        <f>P101+C101</f>
        <v>179</v>
      </c>
      <c r="R101" s="204"/>
      <c r="S101" s="228"/>
      <c r="T101" s="99">
        <v>157</v>
      </c>
      <c r="U101" s="50">
        <f>T101+C101</f>
        <v>197</v>
      </c>
      <c r="V101" s="204"/>
      <c r="W101" s="228"/>
      <c r="X101" s="47">
        <f t="shared" si="3"/>
        <v>910</v>
      </c>
      <c r="Y101" s="107">
        <f>D101+H101+L101+P101+T101</f>
        <v>710</v>
      </c>
      <c r="Z101" s="68">
        <f>AVERAGE(E101,I101,M101,Q101,U101)</f>
        <v>182</v>
      </c>
      <c r="AA101" s="144">
        <f>AVERAGE(E101,I101,M101,Q101,U101)-C101</f>
        <v>142</v>
      </c>
      <c r="AB101" s="221"/>
    </row>
    <row r="102" spans="1:28" s="38" customFormat="1" ht="47.25" customHeight="1">
      <c r="A102" s="217" t="s">
        <v>172</v>
      </c>
      <c r="B102" s="218"/>
      <c r="C102" s="149">
        <f>SUM(C103:C105)</f>
        <v>84</v>
      </c>
      <c r="D102" s="62">
        <f>SUM(D103:D105)</f>
        <v>460</v>
      </c>
      <c r="E102" s="45">
        <f>SUM(E103:E105)</f>
        <v>544</v>
      </c>
      <c r="F102" s="45">
        <f>E106</f>
        <v>486</v>
      </c>
      <c r="G102" s="42" t="str">
        <f>A106</f>
        <v>Vest-Wood 1</v>
      </c>
      <c r="H102" s="62">
        <f>SUM(H103:H105)</f>
        <v>440</v>
      </c>
      <c r="I102" s="45">
        <f>SUM(I103:I105)</f>
        <v>524</v>
      </c>
      <c r="J102" s="45">
        <f>I114</f>
        <v>478</v>
      </c>
      <c r="K102" s="42" t="str">
        <f>A114</f>
        <v>Lajos 2</v>
      </c>
      <c r="L102" s="133">
        <f>SUM(L103:L105)</f>
        <v>474</v>
      </c>
      <c r="M102" s="69">
        <f>SUM(M103:M105)</f>
        <v>558</v>
      </c>
      <c r="N102" s="45">
        <f>M98</f>
        <v>496</v>
      </c>
      <c r="O102" s="42" t="str">
        <f>A98</f>
        <v>Näpi Saeveski</v>
      </c>
      <c r="P102" s="45">
        <f>SUM(P103:P105)</f>
        <v>421</v>
      </c>
      <c r="Q102" s="49">
        <f>SUM(Q103:Q105)</f>
        <v>505</v>
      </c>
      <c r="R102" s="45">
        <f>Q94</f>
        <v>495</v>
      </c>
      <c r="S102" s="42" t="str">
        <f>A94</f>
        <v>Penn&amp; Pärlin</v>
      </c>
      <c r="T102" s="133">
        <f>SUM(T103:T105)</f>
        <v>404</v>
      </c>
      <c r="U102" s="69">
        <f>SUM(U103:U105)</f>
        <v>488</v>
      </c>
      <c r="V102" s="45">
        <f>U110</f>
        <v>539</v>
      </c>
      <c r="W102" s="42" t="str">
        <f>A110</f>
        <v>Rakvere Soojus</v>
      </c>
      <c r="X102" s="36">
        <f t="shared" si="3"/>
        <v>2619</v>
      </c>
      <c r="Y102" s="105">
        <f>SUM(Y103:Y105)</f>
        <v>2199</v>
      </c>
      <c r="Z102" s="65">
        <f>AVERAGE(Z103,Z104,Z105)</f>
        <v>174.6</v>
      </c>
      <c r="AA102" s="142">
        <f>AVERAGE(AA103,AA104,AA105)</f>
        <v>146.6</v>
      </c>
      <c r="AB102" s="219">
        <f>F103+J103+N103+R103+V103</f>
        <v>4</v>
      </c>
    </row>
    <row r="103" spans="1:28" s="38" customFormat="1" ht="15.75" customHeight="1">
      <c r="A103" s="222" t="s">
        <v>277</v>
      </c>
      <c r="B103" s="223"/>
      <c r="C103" s="150">
        <v>30</v>
      </c>
      <c r="D103" s="59">
        <v>137</v>
      </c>
      <c r="E103" s="50">
        <f>C103+D103</f>
        <v>167</v>
      </c>
      <c r="F103" s="224">
        <v>1</v>
      </c>
      <c r="G103" s="225"/>
      <c r="H103" s="97">
        <v>135</v>
      </c>
      <c r="I103" s="46">
        <f>H103+C103</f>
        <v>165</v>
      </c>
      <c r="J103" s="224">
        <v>1</v>
      </c>
      <c r="K103" s="225"/>
      <c r="L103" s="97">
        <v>157</v>
      </c>
      <c r="M103" s="50">
        <f>L103+C103</f>
        <v>187</v>
      </c>
      <c r="N103" s="224">
        <v>1</v>
      </c>
      <c r="O103" s="225"/>
      <c r="P103" s="97">
        <v>133</v>
      </c>
      <c r="Q103" s="50">
        <f>P103+C103</f>
        <v>163</v>
      </c>
      <c r="R103" s="224">
        <v>1</v>
      </c>
      <c r="S103" s="225"/>
      <c r="T103" s="97">
        <v>111</v>
      </c>
      <c r="U103" s="50">
        <f>T103+C103</f>
        <v>141</v>
      </c>
      <c r="V103" s="224">
        <v>0</v>
      </c>
      <c r="W103" s="225"/>
      <c r="X103" s="46">
        <f t="shared" si="3"/>
        <v>823</v>
      </c>
      <c r="Y103" s="106">
        <f>D103+H103+L103+P103+T103</f>
        <v>673</v>
      </c>
      <c r="Z103" s="67">
        <f>AVERAGE(E103,I103,M103,Q103,U103)</f>
        <v>164.6</v>
      </c>
      <c r="AA103" s="143">
        <f>AVERAGE(E103,I103,M103,Q103,U103)-C103</f>
        <v>134.6</v>
      </c>
      <c r="AB103" s="220"/>
    </row>
    <row r="104" spans="1:28" s="38" customFormat="1" ht="15.75" customHeight="1">
      <c r="A104" s="222" t="s">
        <v>187</v>
      </c>
      <c r="B104" s="223"/>
      <c r="C104" s="150">
        <v>23</v>
      </c>
      <c r="D104" s="59">
        <v>172</v>
      </c>
      <c r="E104" s="50">
        <f>C104+D104</f>
        <v>195</v>
      </c>
      <c r="F104" s="226"/>
      <c r="G104" s="227"/>
      <c r="H104" s="98">
        <v>134</v>
      </c>
      <c r="I104" s="46">
        <f>H104+C104</f>
        <v>157</v>
      </c>
      <c r="J104" s="226"/>
      <c r="K104" s="227"/>
      <c r="L104" s="98">
        <v>163</v>
      </c>
      <c r="M104" s="50">
        <f>L104+C104</f>
        <v>186</v>
      </c>
      <c r="N104" s="226"/>
      <c r="O104" s="227"/>
      <c r="P104" s="98">
        <v>148</v>
      </c>
      <c r="Q104" s="50">
        <f>P104+C104</f>
        <v>171</v>
      </c>
      <c r="R104" s="226"/>
      <c r="S104" s="227"/>
      <c r="T104" s="98">
        <v>139</v>
      </c>
      <c r="U104" s="50">
        <f>T104+C104</f>
        <v>162</v>
      </c>
      <c r="V104" s="226"/>
      <c r="W104" s="227"/>
      <c r="X104" s="46">
        <f t="shared" si="3"/>
        <v>871</v>
      </c>
      <c r="Y104" s="106">
        <f>D104+H104+L104+P104+T104</f>
        <v>756</v>
      </c>
      <c r="Z104" s="67">
        <f>AVERAGE(E104,I104,M104,Q104,U104)</f>
        <v>174.2</v>
      </c>
      <c r="AA104" s="143">
        <f>AVERAGE(E104,I104,M104,Q104,U104)-C104</f>
        <v>151.2</v>
      </c>
      <c r="AB104" s="220"/>
    </row>
    <row r="105" spans="1:28" s="38" customFormat="1" ht="15.75" customHeight="1" thickBot="1">
      <c r="A105" s="229" t="s">
        <v>186</v>
      </c>
      <c r="B105" s="230"/>
      <c r="C105" s="151">
        <v>31</v>
      </c>
      <c r="D105" s="60">
        <v>151</v>
      </c>
      <c r="E105" s="50">
        <f>C105+D105</f>
        <v>182</v>
      </c>
      <c r="F105" s="204"/>
      <c r="G105" s="228"/>
      <c r="H105" s="99">
        <v>171</v>
      </c>
      <c r="I105" s="46">
        <f>H105+C105</f>
        <v>202</v>
      </c>
      <c r="J105" s="204"/>
      <c r="K105" s="228"/>
      <c r="L105" s="99">
        <v>154</v>
      </c>
      <c r="M105" s="50">
        <f>L105+C105</f>
        <v>185</v>
      </c>
      <c r="N105" s="204"/>
      <c r="O105" s="228"/>
      <c r="P105" s="99">
        <v>140</v>
      </c>
      <c r="Q105" s="50">
        <f>P105+C105</f>
        <v>171</v>
      </c>
      <c r="R105" s="204"/>
      <c r="S105" s="228"/>
      <c r="T105" s="99">
        <v>154</v>
      </c>
      <c r="U105" s="50">
        <f>T105+C105</f>
        <v>185</v>
      </c>
      <c r="V105" s="204"/>
      <c r="W105" s="228"/>
      <c r="X105" s="47">
        <f t="shared" si="3"/>
        <v>925</v>
      </c>
      <c r="Y105" s="107">
        <f>D105+H105+L105+P105+T105</f>
        <v>770</v>
      </c>
      <c r="Z105" s="68">
        <f>AVERAGE(E105,I105,M105,Q105,U105)</f>
        <v>185</v>
      </c>
      <c r="AA105" s="144">
        <f>AVERAGE(E105,I105,M105,Q105,U105)-C105</f>
        <v>154</v>
      </c>
      <c r="AB105" s="221"/>
    </row>
    <row r="106" spans="1:28" s="38" customFormat="1" ht="39" customHeight="1">
      <c r="A106" s="217" t="s">
        <v>173</v>
      </c>
      <c r="B106" s="218"/>
      <c r="C106" s="149">
        <f>SUM(C107:C109)</f>
        <v>76</v>
      </c>
      <c r="D106" s="62">
        <f>SUM(D107:D109)</f>
        <v>410</v>
      </c>
      <c r="E106" s="45">
        <f>SUM(E107:E109)</f>
        <v>486</v>
      </c>
      <c r="F106" s="45">
        <f>E102</f>
        <v>544</v>
      </c>
      <c r="G106" s="42" t="str">
        <f>A102</f>
        <v>A.E.J.</v>
      </c>
      <c r="H106" s="62">
        <f>SUM(H107:H109)</f>
        <v>444</v>
      </c>
      <c r="I106" s="45">
        <f>SUM(I107:I109)</f>
        <v>520</v>
      </c>
      <c r="J106" s="45">
        <f>I98</f>
        <v>515</v>
      </c>
      <c r="K106" s="42" t="str">
        <f>A98</f>
        <v>Näpi Saeveski</v>
      </c>
      <c r="L106" s="133">
        <f>SUM(L107:L109)</f>
        <v>478</v>
      </c>
      <c r="M106" s="49">
        <f>SUM(M107:M109)</f>
        <v>554</v>
      </c>
      <c r="N106" s="45">
        <f>M94</f>
        <v>512</v>
      </c>
      <c r="O106" s="42" t="str">
        <f>A94</f>
        <v>Penn&amp; Pärlin</v>
      </c>
      <c r="P106" s="45">
        <f>SUM(P107:P109)</f>
        <v>396</v>
      </c>
      <c r="Q106" s="49">
        <f>SUM(Q107:Q109)</f>
        <v>472</v>
      </c>
      <c r="R106" s="45">
        <f>Q110</f>
        <v>461</v>
      </c>
      <c r="S106" s="42" t="str">
        <f>A110</f>
        <v>Rakvere Soojus</v>
      </c>
      <c r="T106" s="133">
        <f>SUM(T107:T109)</f>
        <v>441</v>
      </c>
      <c r="U106" s="49">
        <f>SUM(U107:U109)</f>
        <v>517</v>
      </c>
      <c r="V106" s="45">
        <f>U114</f>
        <v>581</v>
      </c>
      <c r="W106" s="42" t="str">
        <f>A114</f>
        <v>Lajos 2</v>
      </c>
      <c r="X106" s="36">
        <f t="shared" si="3"/>
        <v>2549</v>
      </c>
      <c r="Y106" s="105">
        <f>SUM(Y107:Y109)</f>
        <v>2169</v>
      </c>
      <c r="Z106" s="65">
        <f>AVERAGE(Z107,Z108,Z109)</f>
        <v>169.9333333333333</v>
      </c>
      <c r="AA106" s="142">
        <f>AVERAGE(AA107,AA108,AA109)</f>
        <v>144.6</v>
      </c>
      <c r="AB106" s="219">
        <f>F107+J107+N107+R107+V107</f>
        <v>3</v>
      </c>
    </row>
    <row r="107" spans="1:28" s="38" customFormat="1" ht="15.75" customHeight="1">
      <c r="A107" s="222" t="s">
        <v>190</v>
      </c>
      <c r="B107" s="223"/>
      <c r="C107" s="150">
        <v>17</v>
      </c>
      <c r="D107" s="59">
        <v>140</v>
      </c>
      <c r="E107" s="50">
        <f>C107+D107</f>
        <v>157</v>
      </c>
      <c r="F107" s="224">
        <v>0</v>
      </c>
      <c r="G107" s="225"/>
      <c r="H107" s="97">
        <v>173</v>
      </c>
      <c r="I107" s="46">
        <f>H107+C107</f>
        <v>190</v>
      </c>
      <c r="J107" s="224">
        <v>1</v>
      </c>
      <c r="K107" s="225"/>
      <c r="L107" s="97">
        <v>179</v>
      </c>
      <c r="M107" s="50">
        <f>L107+C107</f>
        <v>196</v>
      </c>
      <c r="N107" s="224">
        <v>1</v>
      </c>
      <c r="O107" s="225"/>
      <c r="P107" s="97">
        <v>173</v>
      </c>
      <c r="Q107" s="50">
        <f>P107+C107</f>
        <v>190</v>
      </c>
      <c r="R107" s="224">
        <v>1</v>
      </c>
      <c r="S107" s="225"/>
      <c r="T107" s="97">
        <v>148</v>
      </c>
      <c r="U107" s="50">
        <f>T107+C107</f>
        <v>165</v>
      </c>
      <c r="V107" s="224">
        <v>0</v>
      </c>
      <c r="W107" s="225"/>
      <c r="X107" s="46">
        <f t="shared" si="3"/>
        <v>898</v>
      </c>
      <c r="Y107" s="106">
        <f>D107+H107+L107+P107+T107</f>
        <v>813</v>
      </c>
      <c r="Z107" s="67">
        <f>AVERAGE(E107,I107,M107,Q107,U107)</f>
        <v>179.6</v>
      </c>
      <c r="AA107" s="143">
        <f>AVERAGE(E107,I107,M107,Q107,U107)-C107</f>
        <v>162.6</v>
      </c>
      <c r="AB107" s="220"/>
    </row>
    <row r="108" spans="1:28" s="38" customFormat="1" ht="15.75" customHeight="1">
      <c r="A108" s="222" t="s">
        <v>194</v>
      </c>
      <c r="B108" s="223"/>
      <c r="C108" s="150">
        <v>35</v>
      </c>
      <c r="D108" s="59">
        <v>122</v>
      </c>
      <c r="E108" s="50">
        <f>C108+D108</f>
        <v>157</v>
      </c>
      <c r="F108" s="226"/>
      <c r="G108" s="227"/>
      <c r="H108" s="98">
        <v>138</v>
      </c>
      <c r="I108" s="46">
        <f>H108+C108</f>
        <v>173</v>
      </c>
      <c r="J108" s="226"/>
      <c r="K108" s="227"/>
      <c r="L108" s="98">
        <v>148</v>
      </c>
      <c r="M108" s="50">
        <f>L108+C108</f>
        <v>183</v>
      </c>
      <c r="N108" s="226"/>
      <c r="O108" s="227"/>
      <c r="P108" s="98">
        <v>122</v>
      </c>
      <c r="Q108" s="50">
        <f>P108+C108</f>
        <v>157</v>
      </c>
      <c r="R108" s="226"/>
      <c r="S108" s="227"/>
      <c r="T108" s="98">
        <v>123</v>
      </c>
      <c r="U108" s="50">
        <f>T108+C108</f>
        <v>158</v>
      </c>
      <c r="V108" s="226"/>
      <c r="W108" s="227"/>
      <c r="X108" s="46">
        <f t="shared" si="3"/>
        <v>828</v>
      </c>
      <c r="Y108" s="106">
        <f>D108+H108+L108+P108+T108</f>
        <v>653</v>
      </c>
      <c r="Z108" s="67">
        <f>AVERAGE(E108,I108,M108,Q108,U108)</f>
        <v>165.6</v>
      </c>
      <c r="AA108" s="143">
        <f>AVERAGE(E108,I108,M108,Q108,U108)-C108</f>
        <v>130.6</v>
      </c>
      <c r="AB108" s="220"/>
    </row>
    <row r="109" spans="1:29" s="38" customFormat="1" ht="15.75" customHeight="1" thickBot="1">
      <c r="A109" s="229" t="s">
        <v>279</v>
      </c>
      <c r="B109" s="230"/>
      <c r="C109" s="151">
        <v>24</v>
      </c>
      <c r="D109" s="60">
        <v>148</v>
      </c>
      <c r="E109" s="50">
        <f>C109+D109</f>
        <v>172</v>
      </c>
      <c r="F109" s="204"/>
      <c r="G109" s="228"/>
      <c r="H109" s="99">
        <v>133</v>
      </c>
      <c r="I109" s="46">
        <f>H109+C109</f>
        <v>157</v>
      </c>
      <c r="J109" s="204"/>
      <c r="K109" s="228"/>
      <c r="L109" s="99">
        <v>151</v>
      </c>
      <c r="M109" s="50">
        <f>L109+C109</f>
        <v>175</v>
      </c>
      <c r="N109" s="204"/>
      <c r="O109" s="228"/>
      <c r="P109" s="99">
        <v>101</v>
      </c>
      <c r="Q109" s="50">
        <f>P109+C109</f>
        <v>125</v>
      </c>
      <c r="R109" s="204"/>
      <c r="S109" s="228"/>
      <c r="T109" s="99">
        <v>170</v>
      </c>
      <c r="U109" s="50">
        <f>T109+C109</f>
        <v>194</v>
      </c>
      <c r="V109" s="204"/>
      <c r="W109" s="228"/>
      <c r="X109" s="47">
        <f t="shared" si="3"/>
        <v>823</v>
      </c>
      <c r="Y109" s="107">
        <f>D109+H109+L109+P109+T109</f>
        <v>703</v>
      </c>
      <c r="Z109" s="68">
        <f>AVERAGE(E109,I109,M109,Q109,U109)</f>
        <v>164.6</v>
      </c>
      <c r="AA109" s="144">
        <f>AVERAGE(E109,I109,M109,Q109,U109)-C109</f>
        <v>140.6</v>
      </c>
      <c r="AB109" s="221"/>
      <c r="AC109" s="44"/>
    </row>
    <row r="110" spans="1:28" s="38" customFormat="1" ht="53.25" customHeight="1">
      <c r="A110" s="217" t="s">
        <v>249</v>
      </c>
      <c r="B110" s="218"/>
      <c r="C110" s="149">
        <f>SUM(C111:C113)</f>
        <v>111</v>
      </c>
      <c r="D110" s="62">
        <f>SUM(D111:D113)</f>
        <v>404</v>
      </c>
      <c r="E110" s="45">
        <f>SUM(E111:E113)</f>
        <v>515</v>
      </c>
      <c r="F110" s="45">
        <f>E98</f>
        <v>522</v>
      </c>
      <c r="G110" s="42" t="str">
        <f>A98</f>
        <v>Näpi Saeveski</v>
      </c>
      <c r="H110" s="62">
        <f>SUM(H111:H113)</f>
        <v>464</v>
      </c>
      <c r="I110" s="45">
        <f>SUM(I111:I113)</f>
        <v>575</v>
      </c>
      <c r="J110" s="45">
        <f>I94</f>
        <v>529</v>
      </c>
      <c r="K110" s="42" t="str">
        <f>A94</f>
        <v>Penn&amp; Pärlin</v>
      </c>
      <c r="L110" s="133">
        <f>SUM(L111:L113)</f>
        <v>414</v>
      </c>
      <c r="M110" s="69">
        <f>SUM(M111:M113)</f>
        <v>525</v>
      </c>
      <c r="N110" s="45">
        <f>M114</f>
        <v>499</v>
      </c>
      <c r="O110" s="42" t="str">
        <f>A114</f>
        <v>Lajos 2</v>
      </c>
      <c r="P110" s="45">
        <f>SUM(P111:P113)</f>
        <v>350</v>
      </c>
      <c r="Q110" s="69">
        <f>SUM(Q111:Q113)</f>
        <v>461</v>
      </c>
      <c r="R110" s="45">
        <f>Q106</f>
        <v>472</v>
      </c>
      <c r="S110" s="42" t="str">
        <f>A106</f>
        <v>Vest-Wood 1</v>
      </c>
      <c r="T110" s="133">
        <f>SUM(T111:T113)</f>
        <v>428</v>
      </c>
      <c r="U110" s="69">
        <f>SUM(U111:U113)</f>
        <v>539</v>
      </c>
      <c r="V110" s="45">
        <f>U102</f>
        <v>488</v>
      </c>
      <c r="W110" s="42" t="str">
        <f>A102</f>
        <v>A.E.J.</v>
      </c>
      <c r="X110" s="36">
        <f t="shared" si="3"/>
        <v>2615</v>
      </c>
      <c r="Y110" s="105">
        <f>SUM(Y111:Y113)</f>
        <v>2060</v>
      </c>
      <c r="Z110" s="65">
        <f>AVERAGE(Z111,Z112,Z113)</f>
        <v>174.33333333333334</v>
      </c>
      <c r="AA110" s="142">
        <f>AVERAGE(AA111,AA112,AA113)</f>
        <v>137.33333333333331</v>
      </c>
      <c r="AB110" s="219">
        <f>F111+J111+N111+R111+V111</f>
        <v>3</v>
      </c>
    </row>
    <row r="111" spans="1:28" s="38" customFormat="1" ht="15.75" customHeight="1">
      <c r="A111" s="222" t="s">
        <v>259</v>
      </c>
      <c r="B111" s="223"/>
      <c r="C111" s="150">
        <v>45</v>
      </c>
      <c r="D111" s="59">
        <v>122</v>
      </c>
      <c r="E111" s="50">
        <f>C111+D111</f>
        <v>167</v>
      </c>
      <c r="F111" s="224">
        <v>0</v>
      </c>
      <c r="G111" s="225"/>
      <c r="H111" s="97">
        <v>132</v>
      </c>
      <c r="I111" s="46">
        <f>H111+C111</f>
        <v>177</v>
      </c>
      <c r="J111" s="224">
        <v>1</v>
      </c>
      <c r="K111" s="225"/>
      <c r="L111" s="97">
        <v>102</v>
      </c>
      <c r="M111" s="50">
        <f>L111+C111</f>
        <v>147</v>
      </c>
      <c r="N111" s="224">
        <v>1</v>
      </c>
      <c r="O111" s="225"/>
      <c r="P111" s="97">
        <v>109</v>
      </c>
      <c r="Q111" s="50">
        <f>P111+C111</f>
        <v>154</v>
      </c>
      <c r="R111" s="224">
        <v>0</v>
      </c>
      <c r="S111" s="225"/>
      <c r="T111" s="97">
        <v>126</v>
      </c>
      <c r="U111" s="50">
        <f>T111+C111</f>
        <v>171</v>
      </c>
      <c r="V111" s="224">
        <v>1</v>
      </c>
      <c r="W111" s="225"/>
      <c r="X111" s="46">
        <f t="shared" si="3"/>
        <v>816</v>
      </c>
      <c r="Y111" s="106">
        <f>D111+H111+L111+P111+T111</f>
        <v>591</v>
      </c>
      <c r="Z111" s="67">
        <f>AVERAGE(E111,I111,M111,Q111,U111)</f>
        <v>163.2</v>
      </c>
      <c r="AA111" s="143">
        <f>AVERAGE(E111,I111,M111,Q111,U111)-C111</f>
        <v>118.19999999999999</v>
      </c>
      <c r="AB111" s="220"/>
    </row>
    <row r="112" spans="1:28" s="38" customFormat="1" ht="15.75" customHeight="1">
      <c r="A112" s="222" t="s">
        <v>252</v>
      </c>
      <c r="B112" s="223"/>
      <c r="C112" s="150">
        <v>27</v>
      </c>
      <c r="D112" s="59">
        <v>131</v>
      </c>
      <c r="E112" s="50">
        <f>C112+D112</f>
        <v>158</v>
      </c>
      <c r="F112" s="226"/>
      <c r="G112" s="227"/>
      <c r="H112" s="98">
        <v>176</v>
      </c>
      <c r="I112" s="46">
        <f>H112+C112</f>
        <v>203</v>
      </c>
      <c r="J112" s="226"/>
      <c r="K112" s="227"/>
      <c r="L112" s="98">
        <v>166</v>
      </c>
      <c r="M112" s="50">
        <f>L112+C112</f>
        <v>193</v>
      </c>
      <c r="N112" s="226"/>
      <c r="O112" s="227"/>
      <c r="P112" s="98">
        <v>122</v>
      </c>
      <c r="Q112" s="50">
        <f>P112+C112</f>
        <v>149</v>
      </c>
      <c r="R112" s="226"/>
      <c r="S112" s="227"/>
      <c r="T112" s="98">
        <v>158</v>
      </c>
      <c r="U112" s="50">
        <f>T112+C112</f>
        <v>185</v>
      </c>
      <c r="V112" s="226"/>
      <c r="W112" s="227"/>
      <c r="X112" s="46">
        <f t="shared" si="3"/>
        <v>888</v>
      </c>
      <c r="Y112" s="106">
        <f>D112+H112+L112+P112+T112</f>
        <v>753</v>
      </c>
      <c r="Z112" s="67">
        <f>AVERAGE(E112,I112,M112,Q112,U112)</f>
        <v>177.6</v>
      </c>
      <c r="AA112" s="143">
        <f>AVERAGE(E112,I112,M112,Q112,U112)-C112</f>
        <v>150.6</v>
      </c>
      <c r="AB112" s="220"/>
    </row>
    <row r="113" spans="1:28" s="38" customFormat="1" ht="15.75" customHeight="1" thickBot="1">
      <c r="A113" s="229" t="s">
        <v>250</v>
      </c>
      <c r="B113" s="230"/>
      <c r="C113" s="151">
        <v>39</v>
      </c>
      <c r="D113" s="60">
        <v>151</v>
      </c>
      <c r="E113" s="50">
        <f>C113+D113</f>
        <v>190</v>
      </c>
      <c r="F113" s="204"/>
      <c r="G113" s="228"/>
      <c r="H113" s="99">
        <v>156</v>
      </c>
      <c r="I113" s="46">
        <f>H113+C113</f>
        <v>195</v>
      </c>
      <c r="J113" s="204"/>
      <c r="K113" s="228"/>
      <c r="L113" s="99">
        <v>146</v>
      </c>
      <c r="M113" s="50">
        <f>L113+C113</f>
        <v>185</v>
      </c>
      <c r="N113" s="204"/>
      <c r="O113" s="228"/>
      <c r="P113" s="99">
        <v>119</v>
      </c>
      <c r="Q113" s="50">
        <f>P113+C113</f>
        <v>158</v>
      </c>
      <c r="R113" s="204"/>
      <c r="S113" s="228"/>
      <c r="T113" s="99">
        <v>144</v>
      </c>
      <c r="U113" s="50">
        <f>T113+C113</f>
        <v>183</v>
      </c>
      <c r="V113" s="204"/>
      <c r="W113" s="228"/>
      <c r="X113" s="47">
        <f t="shared" si="3"/>
        <v>911</v>
      </c>
      <c r="Y113" s="107">
        <f>D113+H113+L113+P113+T113</f>
        <v>716</v>
      </c>
      <c r="Z113" s="68">
        <f>AVERAGE(E113,I113,M113,Q113,U113)</f>
        <v>182.2</v>
      </c>
      <c r="AA113" s="144">
        <f>AVERAGE(E113,I113,M113,Q113,U113)-C113</f>
        <v>143.2</v>
      </c>
      <c r="AB113" s="221"/>
    </row>
    <row r="114" spans="1:28" s="38" customFormat="1" ht="42" customHeight="1">
      <c r="A114" s="217" t="s">
        <v>161</v>
      </c>
      <c r="B114" s="218"/>
      <c r="C114" s="149">
        <f>SUM(C115:C117)</f>
        <v>133</v>
      </c>
      <c r="D114" s="62">
        <f>SUM(D115:D117)</f>
        <v>292</v>
      </c>
      <c r="E114" s="45">
        <f>SUM(E115:E117)</f>
        <v>425</v>
      </c>
      <c r="F114" s="45">
        <f>E94</f>
        <v>556</v>
      </c>
      <c r="G114" s="42" t="str">
        <f>A94</f>
        <v>Penn&amp; Pärlin</v>
      </c>
      <c r="H114" s="62">
        <f>SUM(H115:H117)</f>
        <v>345</v>
      </c>
      <c r="I114" s="45">
        <f>SUM(I115:I117)</f>
        <v>478</v>
      </c>
      <c r="J114" s="45">
        <f>I102</f>
        <v>524</v>
      </c>
      <c r="K114" s="42" t="str">
        <f>A102</f>
        <v>A.E.J.</v>
      </c>
      <c r="L114" s="133">
        <f>SUM(L115:L117)</f>
        <v>366</v>
      </c>
      <c r="M114" s="49">
        <f>SUM(M115:M117)</f>
        <v>499</v>
      </c>
      <c r="N114" s="45">
        <f>M110</f>
        <v>525</v>
      </c>
      <c r="O114" s="42" t="str">
        <f>A110</f>
        <v>Rakvere Soojus</v>
      </c>
      <c r="P114" s="45">
        <f>SUM(P115:P117)</f>
        <v>428</v>
      </c>
      <c r="Q114" s="49">
        <f>SUM(Q115:Q117)</f>
        <v>561</v>
      </c>
      <c r="R114" s="45">
        <f>Q98</f>
        <v>539</v>
      </c>
      <c r="S114" s="42" t="str">
        <f>A98</f>
        <v>Näpi Saeveski</v>
      </c>
      <c r="T114" s="133">
        <f>SUM(T115:T117)</f>
        <v>448</v>
      </c>
      <c r="U114" s="49">
        <f>SUM(U115:U117)</f>
        <v>581</v>
      </c>
      <c r="V114" s="45">
        <f>U106</f>
        <v>517</v>
      </c>
      <c r="W114" s="42" t="str">
        <f>A106</f>
        <v>Vest-Wood 1</v>
      </c>
      <c r="X114" s="36">
        <f t="shared" si="3"/>
        <v>2544</v>
      </c>
      <c r="Y114" s="105">
        <f>SUM(Y115:Y117)</f>
        <v>1879</v>
      </c>
      <c r="Z114" s="65">
        <f>AVERAGE(Z115,Z116,Z117)</f>
        <v>169.6</v>
      </c>
      <c r="AA114" s="142">
        <f>AVERAGE(AA115,AA116,AA117)</f>
        <v>125.26666666666667</v>
      </c>
      <c r="AB114" s="219">
        <f>F115+J115+N115+R115+V115</f>
        <v>2</v>
      </c>
    </row>
    <row r="115" spans="1:28" s="38" customFormat="1" ht="15.75" customHeight="1">
      <c r="A115" s="222" t="s">
        <v>144</v>
      </c>
      <c r="B115" s="223"/>
      <c r="C115" s="150">
        <v>38</v>
      </c>
      <c r="D115" s="59">
        <v>96</v>
      </c>
      <c r="E115" s="50">
        <f>C115+D115</f>
        <v>134</v>
      </c>
      <c r="F115" s="224">
        <v>0</v>
      </c>
      <c r="G115" s="225"/>
      <c r="H115" s="97">
        <v>99</v>
      </c>
      <c r="I115" s="46">
        <f>H115+C115</f>
        <v>137</v>
      </c>
      <c r="J115" s="224">
        <v>0</v>
      </c>
      <c r="K115" s="225"/>
      <c r="L115" s="97">
        <v>159</v>
      </c>
      <c r="M115" s="50">
        <f>L115+C115</f>
        <v>197</v>
      </c>
      <c r="N115" s="224">
        <v>0</v>
      </c>
      <c r="O115" s="225"/>
      <c r="P115" s="97">
        <v>144</v>
      </c>
      <c r="Q115" s="50">
        <f>P115+C115</f>
        <v>182</v>
      </c>
      <c r="R115" s="224">
        <v>1</v>
      </c>
      <c r="S115" s="225"/>
      <c r="T115" s="97">
        <v>134</v>
      </c>
      <c r="U115" s="50">
        <f>T115+C115</f>
        <v>172</v>
      </c>
      <c r="V115" s="224">
        <v>1</v>
      </c>
      <c r="W115" s="225"/>
      <c r="X115" s="46">
        <f t="shared" si="3"/>
        <v>822</v>
      </c>
      <c r="Y115" s="106">
        <f>D115+H115+L115+P115+T115</f>
        <v>632</v>
      </c>
      <c r="Z115" s="67">
        <f>AVERAGE(E115,I115,M115,Q115,U115)</f>
        <v>164.4</v>
      </c>
      <c r="AA115" s="143">
        <f>AVERAGE(E115,I115,M115,Q115,U115)-C115</f>
        <v>126.4</v>
      </c>
      <c r="AB115" s="220"/>
    </row>
    <row r="116" spans="1:28" s="38" customFormat="1" ht="15.75" customHeight="1">
      <c r="A116" s="222" t="s">
        <v>145</v>
      </c>
      <c r="B116" s="223"/>
      <c r="C116" s="150">
        <v>57</v>
      </c>
      <c r="D116" s="59">
        <v>89</v>
      </c>
      <c r="E116" s="50">
        <f>C116+D116</f>
        <v>146</v>
      </c>
      <c r="F116" s="226"/>
      <c r="G116" s="227"/>
      <c r="H116" s="98">
        <v>143</v>
      </c>
      <c r="I116" s="46">
        <f>H116+C116</f>
        <v>200</v>
      </c>
      <c r="J116" s="226"/>
      <c r="K116" s="227"/>
      <c r="L116" s="98">
        <v>88</v>
      </c>
      <c r="M116" s="50">
        <f>L116+C116</f>
        <v>145</v>
      </c>
      <c r="N116" s="226"/>
      <c r="O116" s="227"/>
      <c r="P116" s="98">
        <v>143</v>
      </c>
      <c r="Q116" s="50">
        <f>P116+C116</f>
        <v>200</v>
      </c>
      <c r="R116" s="226"/>
      <c r="S116" s="227"/>
      <c r="T116" s="98">
        <v>109</v>
      </c>
      <c r="U116" s="50">
        <f>T116+C116</f>
        <v>166</v>
      </c>
      <c r="V116" s="226"/>
      <c r="W116" s="227"/>
      <c r="X116" s="46">
        <f t="shared" si="3"/>
        <v>857</v>
      </c>
      <c r="Y116" s="106">
        <f>D116+H116+L116+P116+T116</f>
        <v>572</v>
      </c>
      <c r="Z116" s="67">
        <f>AVERAGE(E116,I116,M116,Q116,U116)</f>
        <v>171.4</v>
      </c>
      <c r="AA116" s="143">
        <f>AVERAGE(E116,I116,M116,Q116,U116)-C116</f>
        <v>114.4</v>
      </c>
      <c r="AB116" s="220"/>
    </row>
    <row r="117" spans="1:28" s="38" customFormat="1" ht="15.75" customHeight="1" thickBot="1">
      <c r="A117" s="229" t="s">
        <v>325</v>
      </c>
      <c r="B117" s="230"/>
      <c r="C117" s="151">
        <v>38</v>
      </c>
      <c r="D117" s="60">
        <v>107</v>
      </c>
      <c r="E117" s="50">
        <f>C117+D117</f>
        <v>145</v>
      </c>
      <c r="F117" s="204"/>
      <c r="G117" s="228"/>
      <c r="H117" s="99">
        <v>103</v>
      </c>
      <c r="I117" s="46">
        <f>H117+C117</f>
        <v>141</v>
      </c>
      <c r="J117" s="204"/>
      <c r="K117" s="228"/>
      <c r="L117" s="99">
        <v>119</v>
      </c>
      <c r="M117" s="50">
        <f>L117+C117</f>
        <v>157</v>
      </c>
      <c r="N117" s="204"/>
      <c r="O117" s="228"/>
      <c r="P117" s="99">
        <v>141</v>
      </c>
      <c r="Q117" s="50">
        <f>P117+C117</f>
        <v>179</v>
      </c>
      <c r="R117" s="204"/>
      <c r="S117" s="228"/>
      <c r="T117" s="99">
        <v>205</v>
      </c>
      <c r="U117" s="50">
        <f>T117+C117</f>
        <v>243</v>
      </c>
      <c r="V117" s="204"/>
      <c r="W117" s="228"/>
      <c r="X117" s="47">
        <f t="shared" si="3"/>
        <v>865</v>
      </c>
      <c r="Y117" s="107">
        <f>D117+H117+L117+P117+T117</f>
        <v>675</v>
      </c>
      <c r="Z117" s="68">
        <f>AVERAGE(E117,I117,M117,Q117,U117)</f>
        <v>173</v>
      </c>
      <c r="AA117" s="144">
        <f>AVERAGE(E117,I117,M117,Q117,U117)-C117</f>
        <v>135</v>
      </c>
      <c r="AB117" s="221"/>
    </row>
    <row r="118" spans="1:28" s="40" customFormat="1" ht="9" customHeight="1">
      <c r="A118" s="207" t="s">
        <v>321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4"/>
      <c r="W118" s="25"/>
      <c r="Y118" s="57"/>
      <c r="Z118" s="41"/>
      <c r="AA118" s="139"/>
      <c r="AB118" s="25"/>
    </row>
    <row r="119" spans="1:28" s="40" customFormat="1" ht="6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4"/>
      <c r="W119" s="25"/>
      <c r="Y119" s="57"/>
      <c r="Z119" s="41"/>
      <c r="AA119" s="139"/>
      <c r="AB119" s="25"/>
    </row>
    <row r="120" spans="1:28" s="40" customFormat="1" ht="23.25" customHeight="1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5"/>
      <c r="W120" s="25"/>
      <c r="Y120" s="57"/>
      <c r="Z120" s="41"/>
      <c r="AA120" s="139"/>
      <c r="AB120" s="25"/>
    </row>
    <row r="121" spans="1:28" s="31" customFormat="1" ht="15.75" customHeight="1">
      <c r="A121" s="209" t="s">
        <v>0</v>
      </c>
      <c r="B121" s="210"/>
      <c r="C121" s="147" t="s">
        <v>39</v>
      </c>
      <c r="D121" s="55"/>
      <c r="E121" s="27" t="s">
        <v>1</v>
      </c>
      <c r="F121" s="211" t="s">
        <v>2</v>
      </c>
      <c r="G121" s="212"/>
      <c r="H121" s="94"/>
      <c r="I121" s="27" t="s">
        <v>3</v>
      </c>
      <c r="J121" s="211" t="s">
        <v>2</v>
      </c>
      <c r="K121" s="212"/>
      <c r="L121" s="94"/>
      <c r="M121" s="27" t="s">
        <v>4</v>
      </c>
      <c r="N121" s="211" t="s">
        <v>2</v>
      </c>
      <c r="O121" s="212"/>
      <c r="P121" s="94"/>
      <c r="Q121" s="27" t="s">
        <v>5</v>
      </c>
      <c r="R121" s="211" t="s">
        <v>2</v>
      </c>
      <c r="S121" s="212"/>
      <c r="T121" s="94"/>
      <c r="U121" s="27" t="s">
        <v>6</v>
      </c>
      <c r="V121" s="211" t="s">
        <v>2</v>
      </c>
      <c r="W121" s="212"/>
      <c r="X121" s="28" t="s">
        <v>7</v>
      </c>
      <c r="Y121" s="104"/>
      <c r="Z121" s="29" t="s">
        <v>40</v>
      </c>
      <c r="AA121" s="140" t="s">
        <v>42</v>
      </c>
      <c r="AB121" s="30" t="s">
        <v>7</v>
      </c>
    </row>
    <row r="122" spans="1:28" s="31" customFormat="1" ht="15.75" customHeight="1" thickBot="1">
      <c r="A122" s="213" t="s">
        <v>9</v>
      </c>
      <c r="B122" s="214"/>
      <c r="C122" s="148"/>
      <c r="D122" s="56"/>
      <c r="E122" s="32" t="s">
        <v>10</v>
      </c>
      <c r="F122" s="211" t="s">
        <v>11</v>
      </c>
      <c r="G122" s="212"/>
      <c r="H122" s="95"/>
      <c r="I122" s="32" t="s">
        <v>10</v>
      </c>
      <c r="J122" s="215" t="s">
        <v>11</v>
      </c>
      <c r="K122" s="216"/>
      <c r="L122" s="95"/>
      <c r="M122" s="32" t="s">
        <v>10</v>
      </c>
      <c r="N122" s="215" t="s">
        <v>11</v>
      </c>
      <c r="O122" s="216"/>
      <c r="P122" s="95"/>
      <c r="Q122" s="32" t="s">
        <v>10</v>
      </c>
      <c r="R122" s="215" t="s">
        <v>11</v>
      </c>
      <c r="S122" s="216"/>
      <c r="T122" s="95"/>
      <c r="U122" s="32" t="s">
        <v>10</v>
      </c>
      <c r="V122" s="215" t="s">
        <v>11</v>
      </c>
      <c r="W122" s="216"/>
      <c r="X122" s="33" t="s">
        <v>10</v>
      </c>
      <c r="Y122" s="134" t="s">
        <v>287</v>
      </c>
      <c r="Z122" s="34" t="s">
        <v>41</v>
      </c>
      <c r="AA122" s="141" t="s">
        <v>43</v>
      </c>
      <c r="AB122" s="35" t="s">
        <v>12</v>
      </c>
    </row>
    <row r="123" spans="1:28" s="38" customFormat="1" ht="42" customHeight="1">
      <c r="A123" s="217" t="s">
        <v>165</v>
      </c>
      <c r="B123" s="218"/>
      <c r="C123" s="149">
        <f>SUM(C124:C126)</f>
        <v>134</v>
      </c>
      <c r="D123" s="62">
        <f>SUM(D124:D126)</f>
        <v>375</v>
      </c>
      <c r="E123" s="63">
        <f>SUM(E124:E126)</f>
        <v>509</v>
      </c>
      <c r="F123" s="46">
        <f>E143</f>
        <v>544</v>
      </c>
      <c r="G123" s="64" t="str">
        <f>A143</f>
        <v>AKAT 1</v>
      </c>
      <c r="H123" s="62">
        <f>SUM(H124:H126)</f>
        <v>417</v>
      </c>
      <c r="I123" s="49">
        <f>SUM(I124:I126)</f>
        <v>551</v>
      </c>
      <c r="J123" s="49">
        <f>I139</f>
        <v>504</v>
      </c>
      <c r="K123" s="42" t="str">
        <f>A139</f>
        <v>RT EHITUS</v>
      </c>
      <c r="L123" s="58">
        <f>SUM(L124:L126)</f>
        <v>440</v>
      </c>
      <c r="M123" s="45">
        <f>SUM(M124:M126)</f>
        <v>574</v>
      </c>
      <c r="N123" s="45">
        <f>M135</f>
        <v>498</v>
      </c>
      <c r="O123" s="42" t="str">
        <f>A135</f>
        <v>STIK</v>
      </c>
      <c r="P123" s="45">
        <f>SUM(P124:P126)</f>
        <v>420</v>
      </c>
      <c r="Q123" s="45">
        <f>SUM(Q124:Q126)</f>
        <v>554</v>
      </c>
      <c r="R123" s="45">
        <f>Q131</f>
        <v>544</v>
      </c>
      <c r="S123" s="42" t="str">
        <f>A131</f>
        <v>PLANRAY</v>
      </c>
      <c r="T123" s="133">
        <f>SUM(T124:T126)</f>
        <v>374</v>
      </c>
      <c r="U123" s="45">
        <f>SUM(U124:U126)</f>
        <v>508</v>
      </c>
      <c r="V123" s="45">
        <f>U127</f>
        <v>542</v>
      </c>
      <c r="W123" s="42" t="str">
        <f>A127</f>
        <v>Vest-Wood 2</v>
      </c>
      <c r="X123" s="36">
        <f aca="true" t="shared" si="4" ref="X123:X146">E123+I123+M123+Q123+U123</f>
        <v>2696</v>
      </c>
      <c r="Y123" s="105">
        <f>SUM(Y124:Y126)</f>
        <v>2026</v>
      </c>
      <c r="Z123" s="37">
        <f>AVERAGE(Z124,Z125,Z126)</f>
        <v>179.73333333333335</v>
      </c>
      <c r="AA123" s="142">
        <f>AVERAGE(AA124,AA125,AA126)</f>
        <v>135.06666666666666</v>
      </c>
      <c r="AB123" s="219">
        <f>F124+J124+N124+R124+V124</f>
        <v>3</v>
      </c>
    </row>
    <row r="124" spans="1:28" s="38" customFormat="1" ht="15.75" customHeight="1">
      <c r="A124" s="222" t="s">
        <v>141</v>
      </c>
      <c r="B124" s="223"/>
      <c r="C124" s="150">
        <v>39</v>
      </c>
      <c r="D124" s="59">
        <v>125</v>
      </c>
      <c r="E124" s="50">
        <f>D124+C124</f>
        <v>164</v>
      </c>
      <c r="F124" s="224">
        <v>0</v>
      </c>
      <c r="G124" s="225"/>
      <c r="H124" s="97">
        <v>139</v>
      </c>
      <c r="I124" s="46">
        <f>H124+C124</f>
        <v>178</v>
      </c>
      <c r="J124" s="224">
        <v>1</v>
      </c>
      <c r="K124" s="225"/>
      <c r="L124" s="97">
        <v>164</v>
      </c>
      <c r="M124" s="50">
        <f>L124+C124</f>
        <v>203</v>
      </c>
      <c r="N124" s="224">
        <v>1</v>
      </c>
      <c r="O124" s="225"/>
      <c r="P124" s="97">
        <v>150</v>
      </c>
      <c r="Q124" s="50">
        <f>P124+C124</f>
        <v>189</v>
      </c>
      <c r="R124" s="224">
        <v>1</v>
      </c>
      <c r="S124" s="225"/>
      <c r="T124" s="97">
        <v>133</v>
      </c>
      <c r="U124" s="50">
        <f>T124+C124</f>
        <v>172</v>
      </c>
      <c r="V124" s="224">
        <v>0</v>
      </c>
      <c r="W124" s="225"/>
      <c r="X124" s="46">
        <f t="shared" si="4"/>
        <v>906</v>
      </c>
      <c r="Y124" s="106">
        <f>D124+H124+L124+P124+T124</f>
        <v>711</v>
      </c>
      <c r="Z124" s="67">
        <f>AVERAGE(E124,I124,M124,Q124,U124)</f>
        <v>181.2</v>
      </c>
      <c r="AA124" s="143">
        <f>AVERAGE(E124,I124,M124,Q124,U124)-C124</f>
        <v>142.2</v>
      </c>
      <c r="AB124" s="220"/>
    </row>
    <row r="125" spans="1:28" s="38" customFormat="1" ht="15.75" customHeight="1">
      <c r="A125" s="222" t="s">
        <v>142</v>
      </c>
      <c r="B125" s="223"/>
      <c r="C125" s="150">
        <v>60</v>
      </c>
      <c r="D125" s="59">
        <v>119</v>
      </c>
      <c r="E125" s="50">
        <f>D125+C125</f>
        <v>179</v>
      </c>
      <c r="F125" s="226"/>
      <c r="G125" s="227"/>
      <c r="H125" s="98">
        <v>87</v>
      </c>
      <c r="I125" s="46">
        <f>H125+C125</f>
        <v>147</v>
      </c>
      <c r="J125" s="226"/>
      <c r="K125" s="227"/>
      <c r="L125" s="98">
        <v>90</v>
      </c>
      <c r="M125" s="50">
        <f>L125+C125</f>
        <v>150</v>
      </c>
      <c r="N125" s="226"/>
      <c r="O125" s="227"/>
      <c r="P125" s="98">
        <v>108</v>
      </c>
      <c r="Q125" s="50">
        <f>P125+C125</f>
        <v>168</v>
      </c>
      <c r="R125" s="226"/>
      <c r="S125" s="227"/>
      <c r="T125" s="98">
        <v>85</v>
      </c>
      <c r="U125" s="50">
        <f>T125+C125</f>
        <v>145</v>
      </c>
      <c r="V125" s="226"/>
      <c r="W125" s="227"/>
      <c r="X125" s="46">
        <f t="shared" si="4"/>
        <v>789</v>
      </c>
      <c r="Y125" s="106">
        <f>D125+H125+L125+P125+T125</f>
        <v>489</v>
      </c>
      <c r="Z125" s="67">
        <f>AVERAGE(E125,I125,M125,Q125,U125)</f>
        <v>157.8</v>
      </c>
      <c r="AA125" s="143">
        <f>AVERAGE(E125,I125,M125,Q125,U125)-C125</f>
        <v>97.80000000000001</v>
      </c>
      <c r="AB125" s="220"/>
    </row>
    <row r="126" spans="1:28" s="38" customFormat="1" ht="16.5" customHeight="1" thickBot="1">
      <c r="A126" s="229" t="s">
        <v>143</v>
      </c>
      <c r="B126" s="230"/>
      <c r="C126" s="151">
        <v>35</v>
      </c>
      <c r="D126" s="60">
        <v>131</v>
      </c>
      <c r="E126" s="50">
        <f>D126+C126</f>
        <v>166</v>
      </c>
      <c r="F126" s="204"/>
      <c r="G126" s="228"/>
      <c r="H126" s="99">
        <v>191</v>
      </c>
      <c r="I126" s="46">
        <f>H126+C126</f>
        <v>226</v>
      </c>
      <c r="J126" s="204"/>
      <c r="K126" s="228"/>
      <c r="L126" s="99">
        <v>186</v>
      </c>
      <c r="M126" s="50">
        <f>L126+C126</f>
        <v>221</v>
      </c>
      <c r="N126" s="204"/>
      <c r="O126" s="228"/>
      <c r="P126" s="99">
        <v>162</v>
      </c>
      <c r="Q126" s="50">
        <f>P126+C126</f>
        <v>197</v>
      </c>
      <c r="R126" s="204"/>
      <c r="S126" s="228"/>
      <c r="T126" s="99">
        <v>156</v>
      </c>
      <c r="U126" s="50">
        <f>T126+C126</f>
        <v>191</v>
      </c>
      <c r="V126" s="204"/>
      <c r="W126" s="228"/>
      <c r="X126" s="47">
        <f t="shared" si="4"/>
        <v>1001</v>
      </c>
      <c r="Y126" s="107">
        <f>D126+H126+L126+P126+T126</f>
        <v>826</v>
      </c>
      <c r="Z126" s="68">
        <f>AVERAGE(E126,I126,M126,Q126,U126)</f>
        <v>200.2</v>
      </c>
      <c r="AA126" s="144">
        <f>AVERAGE(E126,I126,M126,Q126,U126)-C126</f>
        <v>165.2</v>
      </c>
      <c r="AB126" s="221"/>
    </row>
    <row r="127" spans="1:28" s="38" customFormat="1" ht="41.25" customHeight="1">
      <c r="A127" s="217" t="s">
        <v>67</v>
      </c>
      <c r="B127" s="218"/>
      <c r="C127" s="149">
        <f>SUM(C128:C130)</f>
        <v>133</v>
      </c>
      <c r="D127" s="62">
        <f>SUM(D128:D130)</f>
        <v>330</v>
      </c>
      <c r="E127" s="45">
        <f>SUM(E128:E130)</f>
        <v>463</v>
      </c>
      <c r="F127" s="45">
        <f>E139</f>
        <v>524</v>
      </c>
      <c r="G127" s="42" t="str">
        <f>A139</f>
        <v>RT EHITUS</v>
      </c>
      <c r="H127" s="62">
        <f>SUM(H128:H130)</f>
        <v>298</v>
      </c>
      <c r="I127" s="45">
        <f>SUM(I128:I130)</f>
        <v>431</v>
      </c>
      <c r="J127" s="45">
        <f>I135</f>
        <v>546</v>
      </c>
      <c r="K127" s="42" t="str">
        <f>A135</f>
        <v>STIK</v>
      </c>
      <c r="L127" s="133">
        <f>SUM(L128:L130)</f>
        <v>406</v>
      </c>
      <c r="M127" s="49">
        <f>SUM(M128:M130)</f>
        <v>539</v>
      </c>
      <c r="N127" s="45">
        <f>M131</f>
        <v>563</v>
      </c>
      <c r="O127" s="42" t="str">
        <f>A131</f>
        <v>PLANRAY</v>
      </c>
      <c r="P127" s="45">
        <f>SUM(P128:P130)</f>
        <v>298</v>
      </c>
      <c r="Q127" s="49">
        <f>SUM(Q128:Q130)</f>
        <v>431</v>
      </c>
      <c r="R127" s="45">
        <f>Q143</f>
        <v>567</v>
      </c>
      <c r="S127" s="42" t="str">
        <f>A143</f>
        <v>AKAT 1</v>
      </c>
      <c r="T127" s="133">
        <f>SUM(T128:T130)</f>
        <v>409</v>
      </c>
      <c r="U127" s="49">
        <f>SUM(U128:U130)</f>
        <v>542</v>
      </c>
      <c r="V127" s="45">
        <f>U123</f>
        <v>508</v>
      </c>
      <c r="W127" s="42" t="str">
        <f>A123</f>
        <v>Linnaking</v>
      </c>
      <c r="X127" s="36">
        <f t="shared" si="4"/>
        <v>2406</v>
      </c>
      <c r="Y127" s="105">
        <f>SUM(Y128:Y130)</f>
        <v>1741</v>
      </c>
      <c r="Z127" s="65">
        <f>AVERAGE(Z128,Z129,Z130)</f>
        <v>160.4</v>
      </c>
      <c r="AA127" s="142">
        <f>AVERAGE(AA128,AA129,AA130)</f>
        <v>116.06666666666666</v>
      </c>
      <c r="AB127" s="219">
        <f>F128+J128+N128+R128+V128</f>
        <v>1</v>
      </c>
    </row>
    <row r="128" spans="1:28" s="38" customFormat="1" ht="15.75" customHeight="1">
      <c r="A128" s="222" t="s">
        <v>44</v>
      </c>
      <c r="B128" s="223"/>
      <c r="C128" s="150">
        <v>48</v>
      </c>
      <c r="D128" s="59">
        <v>101</v>
      </c>
      <c r="E128" s="50">
        <f>D128+C128</f>
        <v>149</v>
      </c>
      <c r="F128" s="224">
        <v>0</v>
      </c>
      <c r="G128" s="225"/>
      <c r="H128" s="97">
        <v>120</v>
      </c>
      <c r="I128" s="46">
        <f>H128+C128</f>
        <v>168</v>
      </c>
      <c r="J128" s="224">
        <v>0</v>
      </c>
      <c r="K128" s="225"/>
      <c r="L128" s="97">
        <v>124</v>
      </c>
      <c r="M128" s="50">
        <f>L128+C128</f>
        <v>172</v>
      </c>
      <c r="N128" s="224">
        <v>0</v>
      </c>
      <c r="O128" s="225"/>
      <c r="P128" s="97">
        <v>112</v>
      </c>
      <c r="Q128" s="50">
        <f>P128+C128</f>
        <v>160</v>
      </c>
      <c r="R128" s="224">
        <v>0</v>
      </c>
      <c r="S128" s="225"/>
      <c r="T128" s="97">
        <v>142</v>
      </c>
      <c r="U128" s="50">
        <f>T128+C128</f>
        <v>190</v>
      </c>
      <c r="V128" s="224">
        <v>1</v>
      </c>
      <c r="W128" s="225"/>
      <c r="X128" s="46">
        <f t="shared" si="4"/>
        <v>839</v>
      </c>
      <c r="Y128" s="106">
        <f>D128+H128+L128+P128+T128</f>
        <v>599</v>
      </c>
      <c r="Z128" s="67">
        <f>AVERAGE(E128,I128,M128,Q128,U128)</f>
        <v>167.8</v>
      </c>
      <c r="AA128" s="143">
        <f>AVERAGE(E128,I128,M128,Q128,U128)-C128</f>
        <v>119.80000000000001</v>
      </c>
      <c r="AB128" s="220"/>
    </row>
    <row r="129" spans="1:28" s="38" customFormat="1" ht="15.75" customHeight="1">
      <c r="A129" s="222" t="s">
        <v>45</v>
      </c>
      <c r="B129" s="223"/>
      <c r="C129" s="150">
        <v>60</v>
      </c>
      <c r="D129" s="59">
        <v>94</v>
      </c>
      <c r="E129" s="50">
        <f>D129+C129</f>
        <v>154</v>
      </c>
      <c r="F129" s="226"/>
      <c r="G129" s="227"/>
      <c r="H129" s="98">
        <v>73</v>
      </c>
      <c r="I129" s="46">
        <f>H129+C129</f>
        <v>133</v>
      </c>
      <c r="J129" s="226"/>
      <c r="K129" s="227"/>
      <c r="L129" s="98">
        <v>93</v>
      </c>
      <c r="M129" s="50">
        <f>L129+C129</f>
        <v>153</v>
      </c>
      <c r="N129" s="226"/>
      <c r="O129" s="227"/>
      <c r="P129" s="98">
        <v>79</v>
      </c>
      <c r="Q129" s="50">
        <f>P129+C129</f>
        <v>139</v>
      </c>
      <c r="R129" s="226"/>
      <c r="S129" s="227"/>
      <c r="T129" s="98">
        <v>102</v>
      </c>
      <c r="U129" s="50">
        <f>T129+C129</f>
        <v>162</v>
      </c>
      <c r="V129" s="226"/>
      <c r="W129" s="227"/>
      <c r="X129" s="46">
        <f t="shared" si="4"/>
        <v>741</v>
      </c>
      <c r="Y129" s="106">
        <f>D129+H129+L129+P129+T129</f>
        <v>441</v>
      </c>
      <c r="Z129" s="67">
        <f>AVERAGE(E129,I129,M129,Q129,U129)</f>
        <v>148.2</v>
      </c>
      <c r="AA129" s="143">
        <f>AVERAGE(E129,I129,M129,Q129,U129)-C129</f>
        <v>88.19999999999999</v>
      </c>
      <c r="AB129" s="220"/>
    </row>
    <row r="130" spans="1:28" s="38" customFormat="1" ht="15.75" customHeight="1" thickBot="1">
      <c r="A130" s="229" t="s">
        <v>46</v>
      </c>
      <c r="B130" s="230"/>
      <c r="C130" s="151">
        <v>25</v>
      </c>
      <c r="D130" s="60">
        <v>135</v>
      </c>
      <c r="E130" s="50">
        <f>D130+C130</f>
        <v>160</v>
      </c>
      <c r="F130" s="204"/>
      <c r="G130" s="228"/>
      <c r="H130" s="99">
        <v>105</v>
      </c>
      <c r="I130" s="46">
        <f>H130+C130</f>
        <v>130</v>
      </c>
      <c r="J130" s="204"/>
      <c r="K130" s="228"/>
      <c r="L130" s="99">
        <v>189</v>
      </c>
      <c r="M130" s="50">
        <f>L130+C130</f>
        <v>214</v>
      </c>
      <c r="N130" s="204"/>
      <c r="O130" s="228"/>
      <c r="P130" s="99">
        <v>107</v>
      </c>
      <c r="Q130" s="50">
        <f>P130+C130</f>
        <v>132</v>
      </c>
      <c r="R130" s="204"/>
      <c r="S130" s="228"/>
      <c r="T130" s="99">
        <v>165</v>
      </c>
      <c r="U130" s="50">
        <f>T130+C130</f>
        <v>190</v>
      </c>
      <c r="V130" s="204"/>
      <c r="W130" s="228"/>
      <c r="X130" s="47">
        <f t="shared" si="4"/>
        <v>826</v>
      </c>
      <c r="Y130" s="107">
        <f>D130+H130+L130+P130+T130</f>
        <v>701</v>
      </c>
      <c r="Z130" s="68">
        <f>AVERAGE(E130,I130,M130,Q130,U130)</f>
        <v>165.2</v>
      </c>
      <c r="AA130" s="144">
        <f>AVERAGE(E130,I130,M130,Q130,U130)-C130</f>
        <v>140.2</v>
      </c>
      <c r="AB130" s="221"/>
    </row>
    <row r="131" spans="1:28" s="38" customFormat="1" ht="47.25" customHeight="1">
      <c r="A131" s="217" t="s">
        <v>77</v>
      </c>
      <c r="B131" s="218"/>
      <c r="C131" s="149">
        <f>SUM(C132:C134)</f>
        <v>159</v>
      </c>
      <c r="D131" s="62">
        <f>SUM(D132:D134)</f>
        <v>394</v>
      </c>
      <c r="E131" s="45">
        <f>SUM(E132:E134)</f>
        <v>553</v>
      </c>
      <c r="F131" s="45">
        <f>E135</f>
        <v>474</v>
      </c>
      <c r="G131" s="42" t="str">
        <f>A135</f>
        <v>STIK</v>
      </c>
      <c r="H131" s="62">
        <f>SUM(H132:H134)</f>
        <v>369</v>
      </c>
      <c r="I131" s="45">
        <f>SUM(I132:I134)</f>
        <v>528</v>
      </c>
      <c r="J131" s="45">
        <f>I143</f>
        <v>520</v>
      </c>
      <c r="K131" s="42" t="str">
        <f>A143</f>
        <v>AKAT 1</v>
      </c>
      <c r="L131" s="133">
        <f>SUM(L132:L134)</f>
        <v>404</v>
      </c>
      <c r="M131" s="69">
        <f>SUM(M132:M134)</f>
        <v>563</v>
      </c>
      <c r="N131" s="45">
        <f>M127</f>
        <v>539</v>
      </c>
      <c r="O131" s="42" t="str">
        <f>A127</f>
        <v>Vest-Wood 2</v>
      </c>
      <c r="P131" s="45">
        <f>SUM(P132:P134)</f>
        <v>385</v>
      </c>
      <c r="Q131" s="49">
        <f>SUM(Q132:Q134)</f>
        <v>544</v>
      </c>
      <c r="R131" s="45">
        <f>Q123</f>
        <v>554</v>
      </c>
      <c r="S131" s="42" t="str">
        <f>A123</f>
        <v>Linnaking</v>
      </c>
      <c r="T131" s="133">
        <f>SUM(T132:T134)</f>
        <v>365</v>
      </c>
      <c r="U131" s="69">
        <f>SUM(U132:U134)</f>
        <v>524</v>
      </c>
      <c r="V131" s="45">
        <f>U139</f>
        <v>513</v>
      </c>
      <c r="W131" s="42" t="str">
        <f>A139</f>
        <v>RT EHITUS</v>
      </c>
      <c r="X131" s="36">
        <f t="shared" si="4"/>
        <v>2712</v>
      </c>
      <c r="Y131" s="105">
        <f>SUM(Y132:Y134)</f>
        <v>1917</v>
      </c>
      <c r="Z131" s="65">
        <f>AVERAGE(Z132,Z133,Z134)</f>
        <v>180.80000000000004</v>
      </c>
      <c r="AA131" s="142">
        <f>AVERAGE(AA132,AA133,AA134)</f>
        <v>127.80000000000001</v>
      </c>
      <c r="AB131" s="219">
        <f>F132+J132+N132+R132+V132</f>
        <v>4</v>
      </c>
    </row>
    <row r="132" spans="1:28" s="38" customFormat="1" ht="15.75" customHeight="1">
      <c r="A132" s="222" t="s">
        <v>95</v>
      </c>
      <c r="B132" s="223"/>
      <c r="C132" s="150">
        <v>54</v>
      </c>
      <c r="D132" s="59">
        <v>117</v>
      </c>
      <c r="E132" s="50">
        <f>D132+C132</f>
        <v>171</v>
      </c>
      <c r="F132" s="224">
        <v>1</v>
      </c>
      <c r="G132" s="225"/>
      <c r="H132" s="97">
        <v>111</v>
      </c>
      <c r="I132" s="46">
        <f>H132+C132</f>
        <v>165</v>
      </c>
      <c r="J132" s="224">
        <v>1</v>
      </c>
      <c r="K132" s="225"/>
      <c r="L132" s="97">
        <v>144</v>
      </c>
      <c r="M132" s="50">
        <f>L132+C132</f>
        <v>198</v>
      </c>
      <c r="N132" s="224">
        <v>1</v>
      </c>
      <c r="O132" s="225"/>
      <c r="P132" s="97">
        <v>130</v>
      </c>
      <c r="Q132" s="50">
        <f>P132+C132</f>
        <v>184</v>
      </c>
      <c r="R132" s="224">
        <v>0</v>
      </c>
      <c r="S132" s="225"/>
      <c r="T132" s="97">
        <v>127</v>
      </c>
      <c r="U132" s="50">
        <f>T132+C132</f>
        <v>181</v>
      </c>
      <c r="V132" s="224">
        <v>1</v>
      </c>
      <c r="W132" s="225"/>
      <c r="X132" s="46">
        <f t="shared" si="4"/>
        <v>899</v>
      </c>
      <c r="Y132" s="106">
        <f>D132+H132+L132+P132+T132</f>
        <v>629</v>
      </c>
      <c r="Z132" s="67">
        <f>AVERAGE(E132,I132,M132,Q132,U132)</f>
        <v>179.8</v>
      </c>
      <c r="AA132" s="143">
        <f>AVERAGE(E132,I132,M132,Q132,U132)-C132</f>
        <v>125.80000000000001</v>
      </c>
      <c r="AB132" s="220"/>
    </row>
    <row r="133" spans="1:28" s="38" customFormat="1" ht="15.75" customHeight="1">
      <c r="A133" s="222" t="s">
        <v>96</v>
      </c>
      <c r="B133" s="223"/>
      <c r="C133" s="150">
        <v>52</v>
      </c>
      <c r="D133" s="59">
        <v>150</v>
      </c>
      <c r="E133" s="50">
        <f>D133+C133</f>
        <v>202</v>
      </c>
      <c r="F133" s="226"/>
      <c r="G133" s="227"/>
      <c r="H133" s="98">
        <v>131</v>
      </c>
      <c r="I133" s="46">
        <f>H133+C133</f>
        <v>183</v>
      </c>
      <c r="J133" s="226"/>
      <c r="K133" s="227"/>
      <c r="L133" s="98">
        <v>148</v>
      </c>
      <c r="M133" s="50">
        <f>L133+C133</f>
        <v>200</v>
      </c>
      <c r="N133" s="226"/>
      <c r="O133" s="227"/>
      <c r="P133" s="98">
        <v>126</v>
      </c>
      <c r="Q133" s="50">
        <f>P133+C133</f>
        <v>178</v>
      </c>
      <c r="R133" s="226"/>
      <c r="S133" s="227"/>
      <c r="T133" s="98">
        <v>129</v>
      </c>
      <c r="U133" s="50">
        <f>T133+C133</f>
        <v>181</v>
      </c>
      <c r="V133" s="226"/>
      <c r="W133" s="227"/>
      <c r="X133" s="46">
        <f t="shared" si="4"/>
        <v>944</v>
      </c>
      <c r="Y133" s="106">
        <f>D133+H133+L133+P133+T133</f>
        <v>684</v>
      </c>
      <c r="Z133" s="67">
        <f>AVERAGE(E133,I133,M133,Q133,U133)</f>
        <v>188.8</v>
      </c>
      <c r="AA133" s="143">
        <f>AVERAGE(E133,I133,M133,Q133,U133)-C133</f>
        <v>136.8</v>
      </c>
      <c r="AB133" s="220"/>
    </row>
    <row r="134" spans="1:28" s="38" customFormat="1" ht="15.75" customHeight="1" thickBot="1">
      <c r="A134" s="229" t="s">
        <v>97</v>
      </c>
      <c r="B134" s="230"/>
      <c r="C134" s="151">
        <v>53</v>
      </c>
      <c r="D134" s="60">
        <v>127</v>
      </c>
      <c r="E134" s="50">
        <f>D134+C134</f>
        <v>180</v>
      </c>
      <c r="F134" s="204"/>
      <c r="G134" s="228"/>
      <c r="H134" s="99">
        <v>127</v>
      </c>
      <c r="I134" s="46">
        <f>H134+C134</f>
        <v>180</v>
      </c>
      <c r="J134" s="204"/>
      <c r="K134" s="228"/>
      <c r="L134" s="99">
        <v>112</v>
      </c>
      <c r="M134" s="50">
        <f>L134+C134</f>
        <v>165</v>
      </c>
      <c r="N134" s="204"/>
      <c r="O134" s="228"/>
      <c r="P134" s="99">
        <v>129</v>
      </c>
      <c r="Q134" s="50">
        <f>P134+C134</f>
        <v>182</v>
      </c>
      <c r="R134" s="204"/>
      <c r="S134" s="228"/>
      <c r="T134" s="99">
        <v>109</v>
      </c>
      <c r="U134" s="50">
        <f>T134+C134</f>
        <v>162</v>
      </c>
      <c r="V134" s="204"/>
      <c r="W134" s="228"/>
      <c r="X134" s="47">
        <f t="shared" si="4"/>
        <v>869</v>
      </c>
      <c r="Y134" s="107">
        <f>D134+H134+L134+P134+T134</f>
        <v>604</v>
      </c>
      <c r="Z134" s="68">
        <f>AVERAGE(E134,I134,M134,Q134,U134)</f>
        <v>173.8</v>
      </c>
      <c r="AA134" s="144">
        <f>AVERAGE(E134,I134,M134,Q134,U134)-C134</f>
        <v>120.80000000000001</v>
      </c>
      <c r="AB134" s="221"/>
    </row>
    <row r="135" spans="1:28" s="38" customFormat="1" ht="39" customHeight="1">
      <c r="A135" s="217" t="s">
        <v>171</v>
      </c>
      <c r="B135" s="218"/>
      <c r="C135" s="149">
        <f>SUM(C136:C138)</f>
        <v>157</v>
      </c>
      <c r="D135" s="62">
        <f>SUM(D136:D138)</f>
        <v>317</v>
      </c>
      <c r="E135" s="45">
        <f>SUM(E136:E138)</f>
        <v>474</v>
      </c>
      <c r="F135" s="45">
        <f>E131</f>
        <v>553</v>
      </c>
      <c r="G135" s="42" t="str">
        <f>A131</f>
        <v>PLANRAY</v>
      </c>
      <c r="H135" s="62">
        <f>SUM(H136:H138)</f>
        <v>389</v>
      </c>
      <c r="I135" s="45">
        <f>SUM(I136:I138)</f>
        <v>546</v>
      </c>
      <c r="J135" s="45">
        <f>I127</f>
        <v>431</v>
      </c>
      <c r="K135" s="42" t="str">
        <f>A127</f>
        <v>Vest-Wood 2</v>
      </c>
      <c r="L135" s="133">
        <f>SUM(L136:L138)</f>
        <v>341</v>
      </c>
      <c r="M135" s="49">
        <f>SUM(M136:M138)</f>
        <v>498</v>
      </c>
      <c r="N135" s="45">
        <f>M123</f>
        <v>574</v>
      </c>
      <c r="O135" s="42" t="str">
        <f>A123</f>
        <v>Linnaking</v>
      </c>
      <c r="P135" s="45">
        <f>SUM(P136:P138)</f>
        <v>383</v>
      </c>
      <c r="Q135" s="49">
        <f>SUM(Q136:Q138)</f>
        <v>540</v>
      </c>
      <c r="R135" s="45">
        <f>Q139</f>
        <v>503</v>
      </c>
      <c r="S135" s="42" t="str">
        <f>A139</f>
        <v>RT EHITUS</v>
      </c>
      <c r="T135" s="133">
        <f>SUM(T136:T138)</f>
        <v>319</v>
      </c>
      <c r="U135" s="49">
        <f>SUM(U136:U138)</f>
        <v>476</v>
      </c>
      <c r="V135" s="45">
        <f>U143</f>
        <v>565</v>
      </c>
      <c r="W135" s="42" t="str">
        <f>A143</f>
        <v>AKAT 1</v>
      </c>
      <c r="X135" s="36">
        <f t="shared" si="4"/>
        <v>2534</v>
      </c>
      <c r="Y135" s="105">
        <f>SUM(Y136:Y138)</f>
        <v>1749</v>
      </c>
      <c r="Z135" s="65">
        <f>AVERAGE(Z136,Z137,Z138)</f>
        <v>168.93333333333334</v>
      </c>
      <c r="AA135" s="142">
        <f>AVERAGE(AA136,AA137,AA138)</f>
        <v>116.60000000000001</v>
      </c>
      <c r="AB135" s="219">
        <f>F136+J136+N136+R136+V136</f>
        <v>2</v>
      </c>
    </row>
    <row r="136" spans="1:28" s="38" customFormat="1" ht="15.75" customHeight="1">
      <c r="A136" s="222" t="s">
        <v>182</v>
      </c>
      <c r="B136" s="223"/>
      <c r="C136" s="150">
        <v>37</v>
      </c>
      <c r="D136" s="59">
        <v>110</v>
      </c>
      <c r="E136" s="50">
        <f>D136+C136</f>
        <v>147</v>
      </c>
      <c r="F136" s="224">
        <v>0</v>
      </c>
      <c r="G136" s="225"/>
      <c r="H136" s="97">
        <v>143</v>
      </c>
      <c r="I136" s="46">
        <f>H136+C136</f>
        <v>180</v>
      </c>
      <c r="J136" s="224">
        <v>1</v>
      </c>
      <c r="K136" s="225"/>
      <c r="L136" s="97">
        <v>127</v>
      </c>
      <c r="M136" s="50">
        <f>L136+C136</f>
        <v>164</v>
      </c>
      <c r="N136" s="224">
        <v>0</v>
      </c>
      <c r="O136" s="225"/>
      <c r="P136" s="97">
        <v>108</v>
      </c>
      <c r="Q136" s="50">
        <f>P136+C136</f>
        <v>145</v>
      </c>
      <c r="R136" s="224">
        <v>1</v>
      </c>
      <c r="S136" s="225"/>
      <c r="T136" s="97">
        <v>125</v>
      </c>
      <c r="U136" s="50">
        <f>T136+C136</f>
        <v>162</v>
      </c>
      <c r="V136" s="224">
        <v>0</v>
      </c>
      <c r="W136" s="225"/>
      <c r="X136" s="46">
        <f t="shared" si="4"/>
        <v>798</v>
      </c>
      <c r="Y136" s="106">
        <f>D136+H136+L136+P136+T136</f>
        <v>613</v>
      </c>
      <c r="Z136" s="67">
        <f>AVERAGE(E136,I136,M136,Q136,U136)</f>
        <v>159.6</v>
      </c>
      <c r="AA136" s="143">
        <f>AVERAGE(E136,I136,M136,Q136,U136)-C136</f>
        <v>122.6</v>
      </c>
      <c r="AB136" s="220"/>
    </row>
    <row r="137" spans="1:28" s="38" customFormat="1" ht="15.75" customHeight="1">
      <c r="A137" s="222" t="s">
        <v>322</v>
      </c>
      <c r="B137" s="223"/>
      <c r="C137" s="150">
        <v>60</v>
      </c>
      <c r="D137" s="59">
        <v>106</v>
      </c>
      <c r="E137" s="50">
        <f>D137+C137</f>
        <v>166</v>
      </c>
      <c r="F137" s="226"/>
      <c r="G137" s="227"/>
      <c r="H137" s="98">
        <v>136</v>
      </c>
      <c r="I137" s="46">
        <f>H137+C137</f>
        <v>196</v>
      </c>
      <c r="J137" s="226"/>
      <c r="K137" s="227"/>
      <c r="L137" s="98">
        <v>92</v>
      </c>
      <c r="M137" s="50">
        <f>L137+C137</f>
        <v>152</v>
      </c>
      <c r="N137" s="226"/>
      <c r="O137" s="227"/>
      <c r="P137" s="98">
        <v>125</v>
      </c>
      <c r="Q137" s="50">
        <f>P137+C137</f>
        <v>185</v>
      </c>
      <c r="R137" s="226"/>
      <c r="S137" s="227"/>
      <c r="T137" s="98">
        <v>83</v>
      </c>
      <c r="U137" s="50">
        <f>T137+C137</f>
        <v>143</v>
      </c>
      <c r="V137" s="226"/>
      <c r="W137" s="227"/>
      <c r="X137" s="46">
        <f t="shared" si="4"/>
        <v>842</v>
      </c>
      <c r="Y137" s="106">
        <f>D137+H137+L137+P137+T137</f>
        <v>542</v>
      </c>
      <c r="Z137" s="67">
        <f>AVERAGE(E137,I137,M137,Q137,U137)</f>
        <v>168.4</v>
      </c>
      <c r="AA137" s="143">
        <f>AVERAGE(E137,I137,M137,Q137,U137)-C137</f>
        <v>108.4</v>
      </c>
      <c r="AB137" s="220"/>
    </row>
    <row r="138" spans="1:29" s="38" customFormat="1" ht="15.75" customHeight="1" thickBot="1">
      <c r="A138" s="229" t="s">
        <v>184</v>
      </c>
      <c r="B138" s="230"/>
      <c r="C138" s="151">
        <v>60</v>
      </c>
      <c r="D138" s="60">
        <v>101</v>
      </c>
      <c r="E138" s="50">
        <f>D138+C138</f>
        <v>161</v>
      </c>
      <c r="F138" s="204"/>
      <c r="G138" s="228"/>
      <c r="H138" s="99">
        <v>110</v>
      </c>
      <c r="I138" s="46">
        <f>H138+C138</f>
        <v>170</v>
      </c>
      <c r="J138" s="204"/>
      <c r="K138" s="228"/>
      <c r="L138" s="99">
        <v>122</v>
      </c>
      <c r="M138" s="50">
        <f>L138+C138</f>
        <v>182</v>
      </c>
      <c r="N138" s="204"/>
      <c r="O138" s="228"/>
      <c r="P138" s="99">
        <v>150</v>
      </c>
      <c r="Q138" s="50">
        <f>P138+C138</f>
        <v>210</v>
      </c>
      <c r="R138" s="204"/>
      <c r="S138" s="228"/>
      <c r="T138" s="99">
        <v>111</v>
      </c>
      <c r="U138" s="50">
        <f>T138+C138</f>
        <v>171</v>
      </c>
      <c r="V138" s="204"/>
      <c r="W138" s="228"/>
      <c r="X138" s="47">
        <f t="shared" si="4"/>
        <v>894</v>
      </c>
      <c r="Y138" s="107">
        <f>D138+H138+L138+P138+T138</f>
        <v>594</v>
      </c>
      <c r="Z138" s="68">
        <f>AVERAGE(E138,I138,M138,Q138,U138)</f>
        <v>178.8</v>
      </c>
      <c r="AA138" s="144">
        <f>AVERAGE(E138,I138,M138,Q138,U138)-C138</f>
        <v>118.80000000000001</v>
      </c>
      <c r="AB138" s="221"/>
      <c r="AC138" s="44"/>
    </row>
    <row r="139" spans="1:28" s="38" customFormat="1" ht="53.25" customHeight="1">
      <c r="A139" s="217" t="s">
        <v>229</v>
      </c>
      <c r="B139" s="218"/>
      <c r="C139" s="149">
        <f>SUM(C140:C142)</f>
        <v>174</v>
      </c>
      <c r="D139" s="62">
        <f>SUM(D140:D142)</f>
        <v>350</v>
      </c>
      <c r="E139" s="45">
        <f>SUM(E140:E142)</f>
        <v>524</v>
      </c>
      <c r="F139" s="45">
        <f>E127</f>
        <v>463</v>
      </c>
      <c r="G139" s="42" t="str">
        <f>A127</f>
        <v>Vest-Wood 2</v>
      </c>
      <c r="H139" s="62">
        <f>SUM(H140:H142)</f>
        <v>330</v>
      </c>
      <c r="I139" s="45">
        <f>SUM(I140:I142)</f>
        <v>504</v>
      </c>
      <c r="J139" s="45">
        <f>I123</f>
        <v>551</v>
      </c>
      <c r="K139" s="42" t="str">
        <f>A123</f>
        <v>Linnaking</v>
      </c>
      <c r="L139" s="133">
        <f>SUM(L140:L142)</f>
        <v>315</v>
      </c>
      <c r="M139" s="69">
        <f>SUM(M140:M142)</f>
        <v>489</v>
      </c>
      <c r="N139" s="45">
        <f>M143</f>
        <v>556</v>
      </c>
      <c r="O139" s="42" t="str">
        <f>A143</f>
        <v>AKAT 1</v>
      </c>
      <c r="P139" s="45">
        <f>SUM(P140:P142)</f>
        <v>329</v>
      </c>
      <c r="Q139" s="69">
        <f>SUM(Q140:Q142)</f>
        <v>503</v>
      </c>
      <c r="R139" s="45">
        <f>Q135</f>
        <v>540</v>
      </c>
      <c r="S139" s="42" t="str">
        <f>A135</f>
        <v>STIK</v>
      </c>
      <c r="T139" s="133">
        <f>SUM(T140:T142)</f>
        <v>339</v>
      </c>
      <c r="U139" s="69">
        <f>SUM(U140:U142)</f>
        <v>513</v>
      </c>
      <c r="V139" s="45">
        <f>U131</f>
        <v>524</v>
      </c>
      <c r="W139" s="42" t="str">
        <f>A131</f>
        <v>PLANRAY</v>
      </c>
      <c r="X139" s="36">
        <f t="shared" si="4"/>
        <v>2533</v>
      </c>
      <c r="Y139" s="105">
        <f>SUM(Y140:Y142)</f>
        <v>1663</v>
      </c>
      <c r="Z139" s="65">
        <f>AVERAGE(Z140,Z141,Z142)</f>
        <v>168.86666666666667</v>
      </c>
      <c r="AA139" s="142">
        <f>AVERAGE(AA140,AA141,AA142)</f>
        <v>110.86666666666667</v>
      </c>
      <c r="AB139" s="219">
        <f>F140+J140+N140+R140+V140</f>
        <v>1</v>
      </c>
    </row>
    <row r="140" spans="1:28" s="38" customFormat="1" ht="15.75" customHeight="1">
      <c r="A140" s="222" t="s">
        <v>232</v>
      </c>
      <c r="B140" s="223"/>
      <c r="C140" s="150">
        <v>55</v>
      </c>
      <c r="D140" s="59">
        <v>125</v>
      </c>
      <c r="E140" s="50">
        <f>D140+C140</f>
        <v>180</v>
      </c>
      <c r="F140" s="224">
        <v>1</v>
      </c>
      <c r="G140" s="225"/>
      <c r="H140" s="97">
        <v>126</v>
      </c>
      <c r="I140" s="46">
        <f>H140+C140</f>
        <v>181</v>
      </c>
      <c r="J140" s="224">
        <v>0</v>
      </c>
      <c r="K140" s="225"/>
      <c r="L140" s="97">
        <v>125</v>
      </c>
      <c r="M140" s="50">
        <f>L140+C140</f>
        <v>180</v>
      </c>
      <c r="N140" s="224">
        <v>0</v>
      </c>
      <c r="O140" s="225"/>
      <c r="P140" s="97">
        <v>96</v>
      </c>
      <c r="Q140" s="50">
        <f>P140+C140</f>
        <v>151</v>
      </c>
      <c r="R140" s="224">
        <v>0</v>
      </c>
      <c r="S140" s="225"/>
      <c r="T140" s="97">
        <v>136</v>
      </c>
      <c r="U140" s="50">
        <f>T140+C140</f>
        <v>191</v>
      </c>
      <c r="V140" s="224">
        <v>0</v>
      </c>
      <c r="W140" s="225"/>
      <c r="X140" s="46">
        <f t="shared" si="4"/>
        <v>883</v>
      </c>
      <c r="Y140" s="106">
        <f>D140+H140+L140+P140+T140</f>
        <v>608</v>
      </c>
      <c r="Z140" s="67">
        <f>AVERAGE(E140,I140,M140,Q140,U140)</f>
        <v>176.6</v>
      </c>
      <c r="AA140" s="143">
        <f>AVERAGE(E140,I140,M140,Q140,U140)-C140</f>
        <v>121.6</v>
      </c>
      <c r="AB140" s="220"/>
    </row>
    <row r="141" spans="1:28" s="38" customFormat="1" ht="15.75" customHeight="1">
      <c r="A141" s="222" t="s">
        <v>323</v>
      </c>
      <c r="B141" s="223"/>
      <c r="C141" s="150">
        <v>60</v>
      </c>
      <c r="D141" s="59">
        <v>92</v>
      </c>
      <c r="E141" s="50">
        <f>D141+C141</f>
        <v>152</v>
      </c>
      <c r="F141" s="226"/>
      <c r="G141" s="227"/>
      <c r="H141" s="98">
        <v>98</v>
      </c>
      <c r="I141" s="46">
        <f>H141+C141</f>
        <v>158</v>
      </c>
      <c r="J141" s="226"/>
      <c r="K141" s="227"/>
      <c r="L141" s="98">
        <v>71</v>
      </c>
      <c r="M141" s="50">
        <f>L141+C141</f>
        <v>131</v>
      </c>
      <c r="N141" s="226"/>
      <c r="O141" s="227"/>
      <c r="P141" s="98">
        <v>96</v>
      </c>
      <c r="Q141" s="50">
        <f>P141+C141</f>
        <v>156</v>
      </c>
      <c r="R141" s="226"/>
      <c r="S141" s="227"/>
      <c r="T141" s="98">
        <v>90</v>
      </c>
      <c r="U141" s="50">
        <f>T141+C141</f>
        <v>150</v>
      </c>
      <c r="V141" s="226"/>
      <c r="W141" s="227"/>
      <c r="X141" s="46">
        <f t="shared" si="4"/>
        <v>747</v>
      </c>
      <c r="Y141" s="106">
        <f>D141+H141+L141+P141+T141</f>
        <v>447</v>
      </c>
      <c r="Z141" s="67">
        <f>AVERAGE(E141,I141,M141,Q141,U141)</f>
        <v>149.4</v>
      </c>
      <c r="AA141" s="143">
        <f>AVERAGE(E141,I141,M141,Q141,U141)-C141</f>
        <v>89.4</v>
      </c>
      <c r="AB141" s="220"/>
    </row>
    <row r="142" spans="1:28" s="38" customFormat="1" ht="15.75" customHeight="1" thickBot="1">
      <c r="A142" s="229" t="s">
        <v>231</v>
      </c>
      <c r="B142" s="230"/>
      <c r="C142" s="151">
        <v>59</v>
      </c>
      <c r="D142" s="60">
        <v>133</v>
      </c>
      <c r="E142" s="50">
        <f>D142+C142</f>
        <v>192</v>
      </c>
      <c r="F142" s="204"/>
      <c r="G142" s="228"/>
      <c r="H142" s="99">
        <v>106</v>
      </c>
      <c r="I142" s="46">
        <f>H142+C142</f>
        <v>165</v>
      </c>
      <c r="J142" s="204"/>
      <c r="K142" s="228"/>
      <c r="L142" s="99">
        <v>119</v>
      </c>
      <c r="M142" s="50">
        <f>L142+C142</f>
        <v>178</v>
      </c>
      <c r="N142" s="204"/>
      <c r="O142" s="228"/>
      <c r="P142" s="99">
        <v>137</v>
      </c>
      <c r="Q142" s="50">
        <f>P142+C142</f>
        <v>196</v>
      </c>
      <c r="R142" s="204"/>
      <c r="S142" s="228"/>
      <c r="T142" s="99">
        <v>113</v>
      </c>
      <c r="U142" s="50">
        <f>T142+C142</f>
        <v>172</v>
      </c>
      <c r="V142" s="204"/>
      <c r="W142" s="228"/>
      <c r="X142" s="47">
        <f t="shared" si="4"/>
        <v>903</v>
      </c>
      <c r="Y142" s="107">
        <f>D142+H142+L142+P142+T142</f>
        <v>608</v>
      </c>
      <c r="Z142" s="68">
        <f>AVERAGE(E142,I142,M142,Q142,U142)</f>
        <v>180.6</v>
      </c>
      <c r="AA142" s="144">
        <f>AVERAGE(E142,I142,M142,Q142,U142)-C142</f>
        <v>121.6</v>
      </c>
      <c r="AB142" s="221"/>
    </row>
    <row r="143" spans="1:28" s="38" customFormat="1" ht="42" customHeight="1">
      <c r="A143" s="217" t="s">
        <v>233</v>
      </c>
      <c r="B143" s="218"/>
      <c r="C143" s="149">
        <f>SUM(C144:C146)</f>
        <v>106</v>
      </c>
      <c r="D143" s="62">
        <f>SUM(D144:D146)</f>
        <v>438</v>
      </c>
      <c r="E143" s="45">
        <f>SUM(E144:E146)</f>
        <v>544</v>
      </c>
      <c r="F143" s="45">
        <f>E123</f>
        <v>509</v>
      </c>
      <c r="G143" s="42" t="str">
        <f>A123</f>
        <v>Linnaking</v>
      </c>
      <c r="H143" s="62">
        <f>SUM(H144:H146)</f>
        <v>414</v>
      </c>
      <c r="I143" s="45">
        <f>SUM(I144:I146)</f>
        <v>520</v>
      </c>
      <c r="J143" s="45">
        <f>I131</f>
        <v>528</v>
      </c>
      <c r="K143" s="42" t="str">
        <f>A131</f>
        <v>PLANRAY</v>
      </c>
      <c r="L143" s="133">
        <f>SUM(L144:L146)</f>
        <v>450</v>
      </c>
      <c r="M143" s="49">
        <f>SUM(M144:M146)</f>
        <v>556</v>
      </c>
      <c r="N143" s="45">
        <f>M139</f>
        <v>489</v>
      </c>
      <c r="O143" s="42" t="str">
        <f>A139</f>
        <v>RT EHITUS</v>
      </c>
      <c r="P143" s="45">
        <f>SUM(P144:P146)</f>
        <v>461</v>
      </c>
      <c r="Q143" s="49">
        <f>SUM(Q144:Q146)</f>
        <v>567</v>
      </c>
      <c r="R143" s="45">
        <f>Q127</f>
        <v>431</v>
      </c>
      <c r="S143" s="42" t="str">
        <f>A127</f>
        <v>Vest-Wood 2</v>
      </c>
      <c r="T143" s="133">
        <f>SUM(T144:T146)</f>
        <v>459</v>
      </c>
      <c r="U143" s="49">
        <f>SUM(U144:U146)</f>
        <v>565</v>
      </c>
      <c r="V143" s="45">
        <f>U135</f>
        <v>476</v>
      </c>
      <c r="W143" s="42" t="str">
        <f>A135</f>
        <v>STIK</v>
      </c>
      <c r="X143" s="36">
        <f t="shared" si="4"/>
        <v>2752</v>
      </c>
      <c r="Y143" s="105">
        <f>SUM(Y144:Y146)</f>
        <v>2222</v>
      </c>
      <c r="Z143" s="65">
        <f>AVERAGE(Z144,Z145,Z146)</f>
        <v>183.4666666666667</v>
      </c>
      <c r="AA143" s="142">
        <f>AVERAGE(AA144,AA145,AA146)</f>
        <v>148.13333333333335</v>
      </c>
      <c r="AB143" s="219">
        <f>F144+J144+N144+R144+V144</f>
        <v>4</v>
      </c>
    </row>
    <row r="144" spans="1:28" s="38" customFormat="1" ht="15.75" customHeight="1">
      <c r="A144" s="222" t="s">
        <v>260</v>
      </c>
      <c r="B144" s="223"/>
      <c r="C144" s="150">
        <v>39</v>
      </c>
      <c r="D144" s="59">
        <v>114</v>
      </c>
      <c r="E144" s="50">
        <f>D144+C144</f>
        <v>153</v>
      </c>
      <c r="F144" s="224">
        <v>1</v>
      </c>
      <c r="G144" s="225"/>
      <c r="H144" s="97">
        <v>123</v>
      </c>
      <c r="I144" s="46">
        <f>H144+C144</f>
        <v>162</v>
      </c>
      <c r="J144" s="224">
        <v>0</v>
      </c>
      <c r="K144" s="225"/>
      <c r="L144" s="97">
        <v>103</v>
      </c>
      <c r="M144" s="50">
        <f>L144+C144</f>
        <v>142</v>
      </c>
      <c r="N144" s="224">
        <v>1</v>
      </c>
      <c r="O144" s="225"/>
      <c r="P144" s="97">
        <v>107</v>
      </c>
      <c r="Q144" s="50">
        <f>P144+C144</f>
        <v>146</v>
      </c>
      <c r="R144" s="224">
        <v>1</v>
      </c>
      <c r="S144" s="225"/>
      <c r="T144" s="97">
        <v>166</v>
      </c>
      <c r="U144" s="50">
        <f>T144+C144</f>
        <v>205</v>
      </c>
      <c r="V144" s="224">
        <v>1</v>
      </c>
      <c r="W144" s="225"/>
      <c r="X144" s="46">
        <f t="shared" si="4"/>
        <v>808</v>
      </c>
      <c r="Y144" s="106">
        <f>D144+H144+L144+P144+T144</f>
        <v>613</v>
      </c>
      <c r="Z144" s="67">
        <f>AVERAGE(E144,I144,M144,Q144,U144)</f>
        <v>161.6</v>
      </c>
      <c r="AA144" s="143">
        <f>AVERAGE(E144,I144,M144,Q144,U144)-C144</f>
        <v>122.6</v>
      </c>
      <c r="AB144" s="220"/>
    </row>
    <row r="145" spans="1:28" s="38" customFormat="1" ht="15.75" customHeight="1">
      <c r="A145" s="222" t="s">
        <v>235</v>
      </c>
      <c r="B145" s="223"/>
      <c r="C145" s="150">
        <v>47</v>
      </c>
      <c r="D145" s="59">
        <v>165</v>
      </c>
      <c r="E145" s="50">
        <f>D145+C145</f>
        <v>212</v>
      </c>
      <c r="F145" s="226"/>
      <c r="G145" s="227"/>
      <c r="H145" s="98">
        <v>144</v>
      </c>
      <c r="I145" s="46">
        <f>H145+C145</f>
        <v>191</v>
      </c>
      <c r="J145" s="226"/>
      <c r="K145" s="227"/>
      <c r="L145" s="98">
        <v>188</v>
      </c>
      <c r="M145" s="50">
        <f>L145+C145</f>
        <v>235</v>
      </c>
      <c r="N145" s="226"/>
      <c r="O145" s="227"/>
      <c r="P145" s="98">
        <v>163</v>
      </c>
      <c r="Q145" s="50">
        <f>P145+C145</f>
        <v>210</v>
      </c>
      <c r="R145" s="226"/>
      <c r="S145" s="227"/>
      <c r="T145" s="98">
        <v>120</v>
      </c>
      <c r="U145" s="50">
        <f>T145+C145</f>
        <v>167</v>
      </c>
      <c r="V145" s="226"/>
      <c r="W145" s="227"/>
      <c r="X145" s="46">
        <f t="shared" si="4"/>
        <v>1015</v>
      </c>
      <c r="Y145" s="106">
        <f>D145+H145+L145+P145+T145</f>
        <v>780</v>
      </c>
      <c r="Z145" s="67">
        <f>AVERAGE(E145,I145,M145,Q145,U145)</f>
        <v>203</v>
      </c>
      <c r="AA145" s="143">
        <f>AVERAGE(E145,I145,M145,Q145,U145)-C145</f>
        <v>156</v>
      </c>
      <c r="AB145" s="220"/>
    </row>
    <row r="146" spans="1:28" s="38" customFormat="1" ht="15.75" customHeight="1" thickBot="1">
      <c r="A146" s="229" t="s">
        <v>236</v>
      </c>
      <c r="B146" s="230"/>
      <c r="C146" s="151">
        <v>20</v>
      </c>
      <c r="D146" s="60">
        <v>159</v>
      </c>
      <c r="E146" s="50">
        <f>D146+C146</f>
        <v>179</v>
      </c>
      <c r="F146" s="204"/>
      <c r="G146" s="228"/>
      <c r="H146" s="99">
        <v>147</v>
      </c>
      <c r="I146" s="46">
        <f>H146+C146</f>
        <v>167</v>
      </c>
      <c r="J146" s="204"/>
      <c r="K146" s="228"/>
      <c r="L146" s="99">
        <v>159</v>
      </c>
      <c r="M146" s="50">
        <f>L146+C146</f>
        <v>179</v>
      </c>
      <c r="N146" s="204"/>
      <c r="O146" s="228"/>
      <c r="P146" s="99">
        <v>191</v>
      </c>
      <c r="Q146" s="50">
        <f>P146+C146</f>
        <v>211</v>
      </c>
      <c r="R146" s="204"/>
      <c r="S146" s="228"/>
      <c r="T146" s="99">
        <v>173</v>
      </c>
      <c r="U146" s="50">
        <f>T146+C146</f>
        <v>193</v>
      </c>
      <c r="V146" s="204"/>
      <c r="W146" s="228"/>
      <c r="X146" s="47">
        <f t="shared" si="4"/>
        <v>929</v>
      </c>
      <c r="Y146" s="107">
        <f>D146+H146+L146+P146+T146</f>
        <v>829</v>
      </c>
      <c r="Z146" s="68">
        <f>AVERAGE(E146,I146,M146,Q146,U146)</f>
        <v>185.8</v>
      </c>
      <c r="AA146" s="144">
        <f>AVERAGE(E146,I146,M146,Q146,U146)-C146</f>
        <v>165.8</v>
      </c>
      <c r="AB146" s="221"/>
    </row>
    <row r="147" spans="1:28" s="40" customFormat="1" ht="9" customHeight="1">
      <c r="A147" s="207" t="s">
        <v>317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4"/>
      <c r="W147" s="25"/>
      <c r="Y147" s="57"/>
      <c r="Z147" s="41"/>
      <c r="AA147" s="139"/>
      <c r="AB147" s="25"/>
    </row>
    <row r="148" spans="1:28" s="40" customFormat="1" ht="6" customHeigh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4"/>
      <c r="W148" s="25"/>
      <c r="Y148" s="57"/>
      <c r="Z148" s="41"/>
      <c r="AA148" s="139"/>
      <c r="AB148" s="25"/>
    </row>
    <row r="149" spans="1:28" s="40" customFormat="1" ht="23.25" customHeight="1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5"/>
      <c r="W149" s="25"/>
      <c r="Y149" s="57"/>
      <c r="Z149" s="41"/>
      <c r="AA149" s="139"/>
      <c r="AB149" s="25"/>
    </row>
    <row r="150" spans="1:28" s="31" customFormat="1" ht="15.75" customHeight="1">
      <c r="A150" s="209" t="s">
        <v>0</v>
      </c>
      <c r="B150" s="210"/>
      <c r="C150" s="147" t="s">
        <v>39</v>
      </c>
      <c r="D150" s="55"/>
      <c r="E150" s="27" t="s">
        <v>1</v>
      </c>
      <c r="F150" s="211" t="s">
        <v>2</v>
      </c>
      <c r="G150" s="212"/>
      <c r="H150" s="94"/>
      <c r="I150" s="27" t="s">
        <v>3</v>
      </c>
      <c r="J150" s="211" t="s">
        <v>2</v>
      </c>
      <c r="K150" s="212"/>
      <c r="L150" s="94"/>
      <c r="M150" s="27" t="s">
        <v>4</v>
      </c>
      <c r="N150" s="211" t="s">
        <v>2</v>
      </c>
      <c r="O150" s="212"/>
      <c r="P150" s="94"/>
      <c r="Q150" s="27" t="s">
        <v>5</v>
      </c>
      <c r="R150" s="211" t="s">
        <v>2</v>
      </c>
      <c r="S150" s="212"/>
      <c r="T150" s="94"/>
      <c r="U150" s="27" t="s">
        <v>6</v>
      </c>
      <c r="V150" s="211" t="s">
        <v>2</v>
      </c>
      <c r="W150" s="212"/>
      <c r="X150" s="28" t="s">
        <v>7</v>
      </c>
      <c r="Y150" s="104"/>
      <c r="Z150" s="29" t="s">
        <v>40</v>
      </c>
      <c r="AA150" s="140" t="s">
        <v>42</v>
      </c>
      <c r="AB150" s="30" t="s">
        <v>7</v>
      </c>
    </row>
    <row r="151" spans="1:28" s="31" customFormat="1" ht="15.75" customHeight="1" thickBot="1">
      <c r="A151" s="213" t="s">
        <v>9</v>
      </c>
      <c r="B151" s="214"/>
      <c r="C151" s="148"/>
      <c r="D151" s="56"/>
      <c r="E151" s="32" t="s">
        <v>10</v>
      </c>
      <c r="F151" s="211" t="s">
        <v>11</v>
      </c>
      <c r="G151" s="212"/>
      <c r="H151" s="95"/>
      <c r="I151" s="32" t="s">
        <v>10</v>
      </c>
      <c r="J151" s="215" t="s">
        <v>11</v>
      </c>
      <c r="K151" s="216"/>
      <c r="L151" s="95"/>
      <c r="M151" s="32" t="s">
        <v>10</v>
      </c>
      <c r="N151" s="215" t="s">
        <v>11</v>
      </c>
      <c r="O151" s="216"/>
      <c r="P151" s="95"/>
      <c r="Q151" s="32" t="s">
        <v>10</v>
      </c>
      <c r="R151" s="215" t="s">
        <v>11</v>
      </c>
      <c r="S151" s="216"/>
      <c r="T151" s="95"/>
      <c r="U151" s="32" t="s">
        <v>10</v>
      </c>
      <c r="V151" s="215" t="s">
        <v>11</v>
      </c>
      <c r="W151" s="216"/>
      <c r="X151" s="33" t="s">
        <v>10</v>
      </c>
      <c r="Y151" s="134" t="s">
        <v>287</v>
      </c>
      <c r="Z151" s="34" t="s">
        <v>41</v>
      </c>
      <c r="AA151" s="141" t="s">
        <v>43</v>
      </c>
      <c r="AB151" s="35" t="s">
        <v>12</v>
      </c>
    </row>
    <row r="152" spans="1:28" s="38" customFormat="1" ht="42" customHeight="1">
      <c r="A152" s="217" t="s">
        <v>318</v>
      </c>
      <c r="B152" s="218"/>
      <c r="C152" s="149">
        <f>SUM(C153:C155)</f>
        <v>105</v>
      </c>
      <c r="D152" s="62">
        <f>SUM(D153:D155)</f>
        <v>393</v>
      </c>
      <c r="E152" s="63">
        <f>SUM(E153:E155)</f>
        <v>498</v>
      </c>
      <c r="F152" s="46">
        <f>E172</f>
        <v>521</v>
      </c>
      <c r="G152" s="64" t="str">
        <f>A172</f>
        <v>Raktoom</v>
      </c>
      <c r="H152" s="62">
        <f>SUM(H153:H155)</f>
        <v>380</v>
      </c>
      <c r="I152" s="49">
        <f>SUM(I153:I155)</f>
        <v>485</v>
      </c>
      <c r="J152" s="49">
        <f>I168</f>
        <v>536</v>
      </c>
      <c r="K152" s="42" t="str">
        <f>A168</f>
        <v>Uus Maa</v>
      </c>
      <c r="L152" s="58">
        <f>SUM(L153:L155)</f>
        <v>429</v>
      </c>
      <c r="M152" s="45">
        <f>SUM(M153:M155)</f>
        <v>534</v>
      </c>
      <c r="N152" s="45">
        <f>M164</f>
        <v>519</v>
      </c>
      <c r="O152" s="42" t="str">
        <f>A164</f>
        <v>MP Auto</v>
      </c>
      <c r="P152" s="45">
        <f>SUM(P153:P155)</f>
        <v>391</v>
      </c>
      <c r="Q152" s="45">
        <f>SUM(Q153:Q155)</f>
        <v>496</v>
      </c>
      <c r="R152" s="45">
        <f>Q160</f>
        <v>525</v>
      </c>
      <c r="S152" s="42" t="str">
        <f>A160</f>
        <v>Wiru Ehitus</v>
      </c>
      <c r="T152" s="133">
        <f>SUM(T153:T155)</f>
        <v>453</v>
      </c>
      <c r="U152" s="45">
        <f>SUM(U153:U155)</f>
        <v>558</v>
      </c>
      <c r="V152" s="45">
        <f>U156</f>
        <v>527</v>
      </c>
      <c r="W152" s="42" t="str">
        <f>A156</f>
        <v>Toode</v>
      </c>
      <c r="X152" s="36">
        <f aca="true" t="shared" si="5" ref="X152:X175">E152+I152+M152+Q152+U152</f>
        <v>2571</v>
      </c>
      <c r="Y152" s="105">
        <f>SUM(Y153:Y155)</f>
        <v>2046</v>
      </c>
      <c r="Z152" s="37">
        <f>AVERAGE(Z153,Z154,Z155)</f>
        <v>171.4</v>
      </c>
      <c r="AA152" s="142">
        <f>AVERAGE(AA153,AA154,AA155)</f>
        <v>136.4</v>
      </c>
      <c r="AB152" s="219">
        <f>F153+J153+N153+R153+V153</f>
        <v>2</v>
      </c>
    </row>
    <row r="153" spans="1:28" s="38" customFormat="1" ht="15.75" customHeight="1">
      <c r="A153" s="222" t="s">
        <v>92</v>
      </c>
      <c r="B153" s="223"/>
      <c r="C153" s="150">
        <v>58</v>
      </c>
      <c r="D153" s="59">
        <v>143</v>
      </c>
      <c r="E153" s="50">
        <f>D153+C153</f>
        <v>201</v>
      </c>
      <c r="F153" s="224">
        <v>0</v>
      </c>
      <c r="G153" s="225"/>
      <c r="H153" s="97">
        <v>101</v>
      </c>
      <c r="I153" s="46">
        <f>H153+C153</f>
        <v>159</v>
      </c>
      <c r="J153" s="224">
        <v>0</v>
      </c>
      <c r="K153" s="225"/>
      <c r="L153" s="97">
        <v>125</v>
      </c>
      <c r="M153" s="50">
        <f>L153+C153</f>
        <v>183</v>
      </c>
      <c r="N153" s="224">
        <v>1</v>
      </c>
      <c r="O153" s="225"/>
      <c r="P153" s="97">
        <v>114</v>
      </c>
      <c r="Q153" s="50">
        <f>P153+C153</f>
        <v>172</v>
      </c>
      <c r="R153" s="224">
        <v>0</v>
      </c>
      <c r="S153" s="225"/>
      <c r="T153" s="97">
        <v>157</v>
      </c>
      <c r="U153" s="50">
        <f>T153+C153</f>
        <v>215</v>
      </c>
      <c r="V153" s="224">
        <v>1</v>
      </c>
      <c r="W153" s="225"/>
      <c r="X153" s="46">
        <f t="shared" si="5"/>
        <v>930</v>
      </c>
      <c r="Y153" s="106">
        <f>D153+H153+L153+P153+T153</f>
        <v>640</v>
      </c>
      <c r="Z153" s="67">
        <f>AVERAGE(E153,I153,M153,Q153,U153)</f>
        <v>186</v>
      </c>
      <c r="AA153" s="143">
        <f>AVERAGE(E153,I153,M153,Q153,U153)-C153</f>
        <v>128</v>
      </c>
      <c r="AB153" s="220"/>
    </row>
    <row r="154" spans="1:28" s="38" customFormat="1" ht="15.75" customHeight="1">
      <c r="A154" s="222" t="s">
        <v>94</v>
      </c>
      <c r="B154" s="223"/>
      <c r="C154" s="150">
        <v>31</v>
      </c>
      <c r="D154" s="59">
        <v>107</v>
      </c>
      <c r="E154" s="50">
        <f>D154+C154</f>
        <v>138</v>
      </c>
      <c r="F154" s="226"/>
      <c r="G154" s="227"/>
      <c r="H154" s="98">
        <v>151</v>
      </c>
      <c r="I154" s="46">
        <f>H154+C154</f>
        <v>182</v>
      </c>
      <c r="J154" s="226"/>
      <c r="K154" s="227"/>
      <c r="L154" s="98">
        <v>138</v>
      </c>
      <c r="M154" s="50">
        <f>L154+C154</f>
        <v>169</v>
      </c>
      <c r="N154" s="226"/>
      <c r="O154" s="227"/>
      <c r="P154" s="98">
        <v>131</v>
      </c>
      <c r="Q154" s="50">
        <f>P154+C154</f>
        <v>162</v>
      </c>
      <c r="R154" s="226"/>
      <c r="S154" s="227"/>
      <c r="T154" s="98">
        <v>135</v>
      </c>
      <c r="U154" s="50">
        <f>T154+C154</f>
        <v>166</v>
      </c>
      <c r="V154" s="226"/>
      <c r="W154" s="227"/>
      <c r="X154" s="46">
        <f t="shared" si="5"/>
        <v>817</v>
      </c>
      <c r="Y154" s="106">
        <f>D154+H154+L154+P154+T154</f>
        <v>662</v>
      </c>
      <c r="Z154" s="67">
        <f>AVERAGE(E154,I154,M154,Q154,U154)</f>
        <v>163.4</v>
      </c>
      <c r="AA154" s="143">
        <f>AVERAGE(E154,I154,M154,Q154,U154)-C154</f>
        <v>132.4</v>
      </c>
      <c r="AB154" s="220"/>
    </row>
    <row r="155" spans="1:28" s="38" customFormat="1" ht="16.5" customHeight="1" thickBot="1">
      <c r="A155" s="229" t="s">
        <v>93</v>
      </c>
      <c r="B155" s="230"/>
      <c r="C155" s="151">
        <v>16</v>
      </c>
      <c r="D155" s="60">
        <v>143</v>
      </c>
      <c r="E155" s="50">
        <f>D155+C155</f>
        <v>159</v>
      </c>
      <c r="F155" s="204"/>
      <c r="G155" s="228"/>
      <c r="H155" s="99">
        <v>128</v>
      </c>
      <c r="I155" s="46">
        <f>H155+C155</f>
        <v>144</v>
      </c>
      <c r="J155" s="204"/>
      <c r="K155" s="228"/>
      <c r="L155" s="99">
        <v>166</v>
      </c>
      <c r="M155" s="50">
        <f>L155+C155</f>
        <v>182</v>
      </c>
      <c r="N155" s="204"/>
      <c r="O155" s="228"/>
      <c r="P155" s="99">
        <v>146</v>
      </c>
      <c r="Q155" s="50">
        <f>P155+C155</f>
        <v>162</v>
      </c>
      <c r="R155" s="204"/>
      <c r="S155" s="228"/>
      <c r="T155" s="99">
        <v>161</v>
      </c>
      <c r="U155" s="50">
        <f>T155+C155</f>
        <v>177</v>
      </c>
      <c r="V155" s="204"/>
      <c r="W155" s="228"/>
      <c r="X155" s="47">
        <f t="shared" si="5"/>
        <v>824</v>
      </c>
      <c r="Y155" s="107">
        <f>D155+H155+L155+P155+T155</f>
        <v>744</v>
      </c>
      <c r="Z155" s="68">
        <f>AVERAGE(E155,I155,M155,Q155,U155)</f>
        <v>164.8</v>
      </c>
      <c r="AA155" s="144">
        <f>AVERAGE(E155,I155,M155,Q155,U155)-C155</f>
        <v>148.8</v>
      </c>
      <c r="AB155" s="221"/>
    </row>
    <row r="156" spans="1:28" s="38" customFormat="1" ht="41.25" customHeight="1">
      <c r="A156" s="217" t="s">
        <v>195</v>
      </c>
      <c r="B156" s="218"/>
      <c r="C156" s="149">
        <f>SUM(C157:C159)</f>
        <v>131</v>
      </c>
      <c r="D156" s="62">
        <f>SUM(D157:D159)</f>
        <v>362</v>
      </c>
      <c r="E156" s="45">
        <f>SUM(E157:E159)</f>
        <v>493</v>
      </c>
      <c r="F156" s="45">
        <f>E168</f>
        <v>577</v>
      </c>
      <c r="G156" s="42" t="str">
        <f>A168</f>
        <v>Uus Maa</v>
      </c>
      <c r="H156" s="62">
        <f>SUM(H157:H159)</f>
        <v>430</v>
      </c>
      <c r="I156" s="45">
        <f>SUM(I157:I159)</f>
        <v>561</v>
      </c>
      <c r="J156" s="45">
        <f>I164</f>
        <v>523</v>
      </c>
      <c r="K156" s="42" t="str">
        <f>A164</f>
        <v>MP Auto</v>
      </c>
      <c r="L156" s="133">
        <f>SUM(L157:L159)</f>
        <v>397</v>
      </c>
      <c r="M156" s="49">
        <f>SUM(M157:M159)</f>
        <v>528</v>
      </c>
      <c r="N156" s="45">
        <f>M160</f>
        <v>501</v>
      </c>
      <c r="O156" s="42" t="str">
        <f>A160</f>
        <v>Wiru Ehitus</v>
      </c>
      <c r="P156" s="45">
        <f>SUM(P157:P159)</f>
        <v>374</v>
      </c>
      <c r="Q156" s="49">
        <f>SUM(Q157:Q159)</f>
        <v>505</v>
      </c>
      <c r="R156" s="45">
        <f>Q172</f>
        <v>525</v>
      </c>
      <c r="S156" s="42" t="str">
        <f>A172</f>
        <v>Raktoom</v>
      </c>
      <c r="T156" s="133">
        <f>SUM(T157:T159)</f>
        <v>396</v>
      </c>
      <c r="U156" s="49">
        <f>SUM(U157:U159)</f>
        <v>527</v>
      </c>
      <c r="V156" s="45">
        <f>U152</f>
        <v>558</v>
      </c>
      <c r="W156" s="42" t="str">
        <f>A152</f>
        <v>KLG viru</v>
      </c>
      <c r="X156" s="36">
        <f t="shared" si="5"/>
        <v>2614</v>
      </c>
      <c r="Y156" s="105">
        <f>SUM(Y157:Y159)</f>
        <v>1959</v>
      </c>
      <c r="Z156" s="65">
        <f>AVERAGE(Z157,Z158,Z159)</f>
        <v>174.26666666666665</v>
      </c>
      <c r="AA156" s="142">
        <f>AVERAGE(AA157,AA158,AA159)</f>
        <v>130.6</v>
      </c>
      <c r="AB156" s="219">
        <f>F157+J157+N157+R157+V157</f>
        <v>2</v>
      </c>
    </row>
    <row r="157" spans="1:28" s="38" customFormat="1" ht="15.75" customHeight="1">
      <c r="A157" s="222" t="s">
        <v>179</v>
      </c>
      <c r="B157" s="223"/>
      <c r="C157" s="150">
        <v>38</v>
      </c>
      <c r="D157" s="59">
        <v>112</v>
      </c>
      <c r="E157" s="50">
        <f>D157+C157</f>
        <v>150</v>
      </c>
      <c r="F157" s="224">
        <v>0</v>
      </c>
      <c r="G157" s="225"/>
      <c r="H157" s="97">
        <v>139</v>
      </c>
      <c r="I157" s="46">
        <f>H157+C157</f>
        <v>177</v>
      </c>
      <c r="J157" s="224">
        <v>1</v>
      </c>
      <c r="K157" s="225"/>
      <c r="L157" s="97">
        <v>149</v>
      </c>
      <c r="M157" s="50">
        <f>L157+C157</f>
        <v>187</v>
      </c>
      <c r="N157" s="224">
        <v>1</v>
      </c>
      <c r="O157" s="225"/>
      <c r="P157" s="97">
        <v>141</v>
      </c>
      <c r="Q157" s="50">
        <f>P157+C157</f>
        <v>179</v>
      </c>
      <c r="R157" s="224">
        <v>0</v>
      </c>
      <c r="S157" s="225"/>
      <c r="T157" s="97">
        <v>135</v>
      </c>
      <c r="U157" s="50">
        <f>T157+C157</f>
        <v>173</v>
      </c>
      <c r="V157" s="224">
        <v>0</v>
      </c>
      <c r="W157" s="225"/>
      <c r="X157" s="46">
        <f t="shared" si="5"/>
        <v>866</v>
      </c>
      <c r="Y157" s="106">
        <f>D157+H157+L157+P157+T157</f>
        <v>676</v>
      </c>
      <c r="Z157" s="67">
        <f>AVERAGE(E157,I157,M157,Q157,U157)</f>
        <v>173.2</v>
      </c>
      <c r="AA157" s="143">
        <f>AVERAGE(E157,I157,M157,Q157,U157)-C157</f>
        <v>135.2</v>
      </c>
      <c r="AB157" s="220"/>
    </row>
    <row r="158" spans="1:28" s="38" customFormat="1" ht="15.75" customHeight="1">
      <c r="A158" s="222" t="s">
        <v>320</v>
      </c>
      <c r="B158" s="223"/>
      <c r="C158" s="150">
        <v>60</v>
      </c>
      <c r="D158" s="59">
        <v>85</v>
      </c>
      <c r="E158" s="50">
        <f>D158+C158</f>
        <v>145</v>
      </c>
      <c r="F158" s="226"/>
      <c r="G158" s="227"/>
      <c r="H158" s="98">
        <v>109</v>
      </c>
      <c r="I158" s="46">
        <f>H158+C158</f>
        <v>169</v>
      </c>
      <c r="J158" s="226"/>
      <c r="K158" s="227"/>
      <c r="L158" s="98">
        <v>86</v>
      </c>
      <c r="M158" s="50">
        <f>L158+C158</f>
        <v>146</v>
      </c>
      <c r="N158" s="226"/>
      <c r="O158" s="227"/>
      <c r="P158" s="98">
        <v>104</v>
      </c>
      <c r="Q158" s="50">
        <f>P158+C158</f>
        <v>164</v>
      </c>
      <c r="R158" s="226"/>
      <c r="S158" s="227"/>
      <c r="T158" s="98">
        <v>99</v>
      </c>
      <c r="U158" s="50">
        <f>T158+C158</f>
        <v>159</v>
      </c>
      <c r="V158" s="226"/>
      <c r="W158" s="227"/>
      <c r="X158" s="46">
        <f t="shared" si="5"/>
        <v>783</v>
      </c>
      <c r="Y158" s="106">
        <f>D158+H158+L158+P158+T158</f>
        <v>483</v>
      </c>
      <c r="Z158" s="67">
        <f>AVERAGE(E158,I158,M158,Q158,U158)</f>
        <v>156.6</v>
      </c>
      <c r="AA158" s="143">
        <f>AVERAGE(E158,I158,M158,Q158,U158)-C158</f>
        <v>96.6</v>
      </c>
      <c r="AB158" s="220"/>
    </row>
    <row r="159" spans="1:28" s="38" customFormat="1" ht="15.75" customHeight="1" thickBot="1">
      <c r="A159" s="229" t="s">
        <v>181</v>
      </c>
      <c r="B159" s="230"/>
      <c r="C159" s="151">
        <v>33</v>
      </c>
      <c r="D159" s="60">
        <v>165</v>
      </c>
      <c r="E159" s="50">
        <f>D159+C159</f>
        <v>198</v>
      </c>
      <c r="F159" s="204"/>
      <c r="G159" s="228"/>
      <c r="H159" s="99">
        <v>182</v>
      </c>
      <c r="I159" s="46">
        <f>H159+C159</f>
        <v>215</v>
      </c>
      <c r="J159" s="204"/>
      <c r="K159" s="228"/>
      <c r="L159" s="99">
        <v>162</v>
      </c>
      <c r="M159" s="50">
        <f>L159+C159</f>
        <v>195</v>
      </c>
      <c r="N159" s="204"/>
      <c r="O159" s="228"/>
      <c r="P159" s="99">
        <v>129</v>
      </c>
      <c r="Q159" s="50">
        <f>P159+C159</f>
        <v>162</v>
      </c>
      <c r="R159" s="204"/>
      <c r="S159" s="228"/>
      <c r="T159" s="99">
        <v>162</v>
      </c>
      <c r="U159" s="50">
        <f>T159+C159</f>
        <v>195</v>
      </c>
      <c r="V159" s="204"/>
      <c r="W159" s="228"/>
      <c r="X159" s="47">
        <f t="shared" si="5"/>
        <v>965</v>
      </c>
      <c r="Y159" s="107">
        <f>D159+H159+L159+P159+T159</f>
        <v>800</v>
      </c>
      <c r="Z159" s="68">
        <f>AVERAGE(E159,I159,M159,Q159,U159)</f>
        <v>193</v>
      </c>
      <c r="AA159" s="144">
        <f>AVERAGE(E159,I159,M159,Q159,U159)-C159</f>
        <v>160</v>
      </c>
      <c r="AB159" s="221"/>
    </row>
    <row r="160" spans="1:28" s="38" customFormat="1" ht="47.25" customHeight="1">
      <c r="A160" s="217" t="s">
        <v>237</v>
      </c>
      <c r="B160" s="218"/>
      <c r="C160" s="149">
        <f>SUM(C161:C163)</f>
        <v>149</v>
      </c>
      <c r="D160" s="62">
        <f>SUM(D161:D163)</f>
        <v>339</v>
      </c>
      <c r="E160" s="45">
        <f>SUM(E161:E163)</f>
        <v>488</v>
      </c>
      <c r="F160" s="45">
        <f>E164</f>
        <v>553</v>
      </c>
      <c r="G160" s="42" t="str">
        <f>A164</f>
        <v>MP Auto</v>
      </c>
      <c r="H160" s="62">
        <f>SUM(H161:H163)</f>
        <v>318</v>
      </c>
      <c r="I160" s="45">
        <f>SUM(I161:I163)</f>
        <v>467</v>
      </c>
      <c r="J160" s="45">
        <f>I172</f>
        <v>471</v>
      </c>
      <c r="K160" s="42" t="str">
        <f>A172</f>
        <v>Raktoom</v>
      </c>
      <c r="L160" s="133">
        <f>SUM(L161:L163)</f>
        <v>352</v>
      </c>
      <c r="M160" s="69">
        <f>SUM(M161:M163)</f>
        <v>501</v>
      </c>
      <c r="N160" s="45">
        <f>M156</f>
        <v>528</v>
      </c>
      <c r="O160" s="42" t="str">
        <f>A156</f>
        <v>Toode</v>
      </c>
      <c r="P160" s="45">
        <f>SUM(P161:P163)</f>
        <v>376</v>
      </c>
      <c r="Q160" s="49">
        <f>SUM(Q161:Q163)</f>
        <v>525</v>
      </c>
      <c r="R160" s="45">
        <f>Q152</f>
        <v>496</v>
      </c>
      <c r="S160" s="42" t="str">
        <f>A152</f>
        <v>KLG viru</v>
      </c>
      <c r="T160" s="133">
        <f>SUM(T161:T163)</f>
        <v>373</v>
      </c>
      <c r="U160" s="69">
        <f>SUM(U161:U163)</f>
        <v>522</v>
      </c>
      <c r="V160" s="45">
        <f>U168</f>
        <v>527</v>
      </c>
      <c r="W160" s="42" t="str">
        <f>A168</f>
        <v>Uus Maa</v>
      </c>
      <c r="X160" s="36">
        <f t="shared" si="5"/>
        <v>2503</v>
      </c>
      <c r="Y160" s="105">
        <f>SUM(Y161:Y163)</f>
        <v>1758</v>
      </c>
      <c r="Z160" s="65">
        <f>AVERAGE(Z161,Z162,Z163)</f>
        <v>166.86666666666667</v>
      </c>
      <c r="AA160" s="142">
        <f>AVERAGE(AA161,AA162,AA163)</f>
        <v>117.2</v>
      </c>
      <c r="AB160" s="219">
        <f>F161+J161+N161+R161+V161</f>
        <v>1</v>
      </c>
    </row>
    <row r="161" spans="1:28" s="38" customFormat="1" ht="15.75" customHeight="1">
      <c r="A161" s="222" t="s">
        <v>240</v>
      </c>
      <c r="B161" s="223"/>
      <c r="C161" s="150">
        <v>60</v>
      </c>
      <c r="D161" s="59">
        <v>75</v>
      </c>
      <c r="E161" s="50">
        <f>D161+C161</f>
        <v>135</v>
      </c>
      <c r="F161" s="224">
        <v>0</v>
      </c>
      <c r="G161" s="225"/>
      <c r="H161" s="97">
        <v>100</v>
      </c>
      <c r="I161" s="46">
        <f>H161+C161</f>
        <v>160</v>
      </c>
      <c r="J161" s="224">
        <v>0</v>
      </c>
      <c r="K161" s="225"/>
      <c r="L161" s="97">
        <v>94</v>
      </c>
      <c r="M161" s="50">
        <f>L161+C161</f>
        <v>154</v>
      </c>
      <c r="N161" s="224">
        <v>0</v>
      </c>
      <c r="O161" s="225"/>
      <c r="P161" s="97">
        <v>79</v>
      </c>
      <c r="Q161" s="50">
        <f>P161+C161</f>
        <v>139</v>
      </c>
      <c r="R161" s="224">
        <v>1</v>
      </c>
      <c r="S161" s="225"/>
      <c r="T161" s="97">
        <v>105</v>
      </c>
      <c r="U161" s="50">
        <f>T161+C161</f>
        <v>165</v>
      </c>
      <c r="V161" s="224">
        <v>0</v>
      </c>
      <c r="W161" s="225"/>
      <c r="X161" s="46">
        <f t="shared" si="5"/>
        <v>753</v>
      </c>
      <c r="Y161" s="106">
        <f>D161+H161+L161+P161+T161</f>
        <v>453</v>
      </c>
      <c r="Z161" s="67">
        <f>AVERAGE(E161,I161,M161,Q161,U161)</f>
        <v>150.6</v>
      </c>
      <c r="AA161" s="143">
        <f>AVERAGE(E161,I161,M161,Q161,U161)-C161</f>
        <v>90.6</v>
      </c>
      <c r="AB161" s="220"/>
    </row>
    <row r="162" spans="1:28" s="38" customFormat="1" ht="15.75" customHeight="1">
      <c r="A162" s="222" t="s">
        <v>238</v>
      </c>
      <c r="B162" s="223"/>
      <c r="C162" s="150">
        <v>53</v>
      </c>
      <c r="D162" s="59">
        <v>140</v>
      </c>
      <c r="E162" s="50">
        <f>D162+C162</f>
        <v>193</v>
      </c>
      <c r="F162" s="226"/>
      <c r="G162" s="227"/>
      <c r="H162" s="98">
        <v>82</v>
      </c>
      <c r="I162" s="46">
        <f>H162+C162</f>
        <v>135</v>
      </c>
      <c r="J162" s="226"/>
      <c r="K162" s="227"/>
      <c r="L162" s="98">
        <v>131</v>
      </c>
      <c r="M162" s="50">
        <f>L162+C162</f>
        <v>184</v>
      </c>
      <c r="N162" s="226"/>
      <c r="O162" s="227"/>
      <c r="P162" s="98">
        <v>137</v>
      </c>
      <c r="Q162" s="50">
        <f>P162+C162</f>
        <v>190</v>
      </c>
      <c r="R162" s="226"/>
      <c r="S162" s="227"/>
      <c r="T162" s="98">
        <v>143</v>
      </c>
      <c r="U162" s="50">
        <f>T162+C162</f>
        <v>196</v>
      </c>
      <c r="V162" s="226"/>
      <c r="W162" s="227"/>
      <c r="X162" s="46">
        <f t="shared" si="5"/>
        <v>898</v>
      </c>
      <c r="Y162" s="106">
        <f>D162+H162+L162+P162+T162</f>
        <v>633</v>
      </c>
      <c r="Z162" s="67">
        <f>AVERAGE(E162,I162,M162,Q162,U162)</f>
        <v>179.6</v>
      </c>
      <c r="AA162" s="143">
        <f>AVERAGE(E162,I162,M162,Q162,U162)-C162</f>
        <v>126.6</v>
      </c>
      <c r="AB162" s="220"/>
    </row>
    <row r="163" spans="1:28" s="38" customFormat="1" ht="15.75" customHeight="1" thickBot="1">
      <c r="A163" s="229" t="s">
        <v>319</v>
      </c>
      <c r="B163" s="230"/>
      <c r="C163" s="151">
        <v>36</v>
      </c>
      <c r="D163" s="60">
        <v>124</v>
      </c>
      <c r="E163" s="50">
        <f>D163+C163</f>
        <v>160</v>
      </c>
      <c r="F163" s="204"/>
      <c r="G163" s="228"/>
      <c r="H163" s="99">
        <v>136</v>
      </c>
      <c r="I163" s="46">
        <f>H163+C163</f>
        <v>172</v>
      </c>
      <c r="J163" s="204"/>
      <c r="K163" s="228"/>
      <c r="L163" s="99">
        <v>127</v>
      </c>
      <c r="M163" s="50">
        <f>L163+C163</f>
        <v>163</v>
      </c>
      <c r="N163" s="204"/>
      <c r="O163" s="228"/>
      <c r="P163" s="99">
        <v>160</v>
      </c>
      <c r="Q163" s="50">
        <f>P163+C163</f>
        <v>196</v>
      </c>
      <c r="R163" s="204"/>
      <c r="S163" s="228"/>
      <c r="T163" s="99">
        <v>125</v>
      </c>
      <c r="U163" s="50">
        <f>T163+C163</f>
        <v>161</v>
      </c>
      <c r="V163" s="204"/>
      <c r="W163" s="228"/>
      <c r="X163" s="47">
        <f t="shared" si="5"/>
        <v>852</v>
      </c>
      <c r="Y163" s="107">
        <f>D163+H163+L163+P163+T163</f>
        <v>672</v>
      </c>
      <c r="Z163" s="68">
        <f>AVERAGE(E163,I163,M163,Q163,U163)</f>
        <v>170.4</v>
      </c>
      <c r="AA163" s="144">
        <f>AVERAGE(E163,I163,M163,Q163,U163)-C163</f>
        <v>134.4</v>
      </c>
      <c r="AB163" s="221"/>
    </row>
    <row r="164" spans="1:28" s="38" customFormat="1" ht="39" customHeight="1">
      <c r="A164" s="217" t="s">
        <v>223</v>
      </c>
      <c r="B164" s="218"/>
      <c r="C164" s="149">
        <f>SUM(C165:C167)</f>
        <v>135</v>
      </c>
      <c r="D164" s="62">
        <f>SUM(D165:D167)</f>
        <v>418</v>
      </c>
      <c r="E164" s="45">
        <f>SUM(E165:E167)</f>
        <v>553</v>
      </c>
      <c r="F164" s="45">
        <f>E160</f>
        <v>488</v>
      </c>
      <c r="G164" s="42" t="str">
        <f>A160</f>
        <v>Wiru Ehitus</v>
      </c>
      <c r="H164" s="62">
        <f>SUM(H165:H167)</f>
        <v>388</v>
      </c>
      <c r="I164" s="45">
        <f>SUM(I165:I167)</f>
        <v>523</v>
      </c>
      <c r="J164" s="45">
        <f>I156</f>
        <v>561</v>
      </c>
      <c r="K164" s="42" t="str">
        <f>A156</f>
        <v>Toode</v>
      </c>
      <c r="L164" s="133">
        <f>SUM(L165:L167)</f>
        <v>384</v>
      </c>
      <c r="M164" s="49">
        <f>SUM(M165:M167)</f>
        <v>519</v>
      </c>
      <c r="N164" s="45">
        <f>M152</f>
        <v>534</v>
      </c>
      <c r="O164" s="42" t="str">
        <f>A152</f>
        <v>KLG viru</v>
      </c>
      <c r="P164" s="45">
        <f>SUM(P165:P167)</f>
        <v>367</v>
      </c>
      <c r="Q164" s="49">
        <f>SUM(Q165:Q167)</f>
        <v>502</v>
      </c>
      <c r="R164" s="45">
        <f>Q168</f>
        <v>537</v>
      </c>
      <c r="S164" s="42" t="str">
        <f>A168</f>
        <v>Uus Maa</v>
      </c>
      <c r="T164" s="133">
        <f>SUM(T165:T167)</f>
        <v>437</v>
      </c>
      <c r="U164" s="49">
        <f>SUM(U165:U167)</f>
        <v>572</v>
      </c>
      <c r="V164" s="45">
        <f>U172</f>
        <v>482</v>
      </c>
      <c r="W164" s="42" t="str">
        <f>A172</f>
        <v>Raktoom</v>
      </c>
      <c r="X164" s="36">
        <f t="shared" si="5"/>
        <v>2669</v>
      </c>
      <c r="Y164" s="105">
        <f>SUM(Y165:Y167)</f>
        <v>1994</v>
      </c>
      <c r="Z164" s="65">
        <f>AVERAGE(Z165,Z166,Z167)</f>
        <v>177.9333333333333</v>
      </c>
      <c r="AA164" s="142">
        <f>AVERAGE(AA165,AA166,AA167)</f>
        <v>132.9333333333333</v>
      </c>
      <c r="AB164" s="219">
        <f>F165+J165+N165+R165+V165</f>
        <v>2</v>
      </c>
    </row>
    <row r="165" spans="1:28" s="38" customFormat="1" ht="15.75" customHeight="1">
      <c r="A165" s="222" t="s">
        <v>209</v>
      </c>
      <c r="B165" s="223"/>
      <c r="C165" s="150">
        <v>41</v>
      </c>
      <c r="D165" s="59">
        <v>155</v>
      </c>
      <c r="E165" s="50">
        <f>D165+C165</f>
        <v>196</v>
      </c>
      <c r="F165" s="224">
        <v>1</v>
      </c>
      <c r="G165" s="225"/>
      <c r="H165" s="97">
        <v>124</v>
      </c>
      <c r="I165" s="46">
        <f>H165+C165</f>
        <v>165</v>
      </c>
      <c r="J165" s="224">
        <v>0</v>
      </c>
      <c r="K165" s="225"/>
      <c r="L165" s="97">
        <v>126</v>
      </c>
      <c r="M165" s="50">
        <f>L165+C165</f>
        <v>167</v>
      </c>
      <c r="N165" s="224">
        <v>0</v>
      </c>
      <c r="O165" s="225"/>
      <c r="P165" s="97">
        <v>145</v>
      </c>
      <c r="Q165" s="50">
        <f>P165+C165</f>
        <v>186</v>
      </c>
      <c r="R165" s="224">
        <v>0</v>
      </c>
      <c r="S165" s="225"/>
      <c r="T165" s="97">
        <v>209</v>
      </c>
      <c r="U165" s="50">
        <f>T165+C165</f>
        <v>250</v>
      </c>
      <c r="V165" s="224">
        <v>1</v>
      </c>
      <c r="W165" s="225"/>
      <c r="X165" s="46">
        <f t="shared" si="5"/>
        <v>964</v>
      </c>
      <c r="Y165" s="106">
        <f>D165+H165+L165+P165+T165</f>
        <v>759</v>
      </c>
      <c r="Z165" s="67">
        <f>AVERAGE(E165,I165,M165,Q165,U165)</f>
        <v>192.8</v>
      </c>
      <c r="AA165" s="143">
        <f>AVERAGE(E165,I165,M165,Q165,U165)-C165</f>
        <v>151.8</v>
      </c>
      <c r="AB165" s="220"/>
    </row>
    <row r="166" spans="1:28" s="38" customFormat="1" ht="15.75" customHeight="1">
      <c r="A166" s="222" t="s">
        <v>210</v>
      </c>
      <c r="B166" s="223"/>
      <c r="C166" s="150">
        <v>53</v>
      </c>
      <c r="D166" s="59">
        <v>127</v>
      </c>
      <c r="E166" s="50">
        <f>D166+C166</f>
        <v>180</v>
      </c>
      <c r="F166" s="226"/>
      <c r="G166" s="227"/>
      <c r="H166" s="98">
        <v>127</v>
      </c>
      <c r="I166" s="46">
        <f>H166+C166</f>
        <v>180</v>
      </c>
      <c r="J166" s="226"/>
      <c r="K166" s="227"/>
      <c r="L166" s="98">
        <v>129</v>
      </c>
      <c r="M166" s="50">
        <f>L166+C166</f>
        <v>182</v>
      </c>
      <c r="N166" s="226"/>
      <c r="O166" s="227"/>
      <c r="P166" s="98">
        <v>94</v>
      </c>
      <c r="Q166" s="50">
        <f>P166+C166</f>
        <v>147</v>
      </c>
      <c r="R166" s="226"/>
      <c r="S166" s="227"/>
      <c r="T166" s="98">
        <v>111</v>
      </c>
      <c r="U166" s="50">
        <f>T166+C166</f>
        <v>164</v>
      </c>
      <c r="V166" s="226"/>
      <c r="W166" s="227"/>
      <c r="X166" s="46">
        <f t="shared" si="5"/>
        <v>853</v>
      </c>
      <c r="Y166" s="106">
        <f>D166+H166+L166+P166+T166</f>
        <v>588</v>
      </c>
      <c r="Z166" s="67">
        <f>AVERAGE(E166,I166,M166,Q166,U166)</f>
        <v>170.6</v>
      </c>
      <c r="AA166" s="143">
        <f>AVERAGE(E166,I166,M166,Q166,U166)-C166</f>
        <v>117.6</v>
      </c>
      <c r="AB166" s="220"/>
    </row>
    <row r="167" spans="1:29" s="38" customFormat="1" ht="15.75" customHeight="1" thickBot="1">
      <c r="A167" s="229" t="s">
        <v>211</v>
      </c>
      <c r="B167" s="230"/>
      <c r="C167" s="151">
        <v>41</v>
      </c>
      <c r="D167" s="60">
        <v>136</v>
      </c>
      <c r="E167" s="50">
        <f>D167+C167</f>
        <v>177</v>
      </c>
      <c r="F167" s="204"/>
      <c r="G167" s="228"/>
      <c r="H167" s="99">
        <v>137</v>
      </c>
      <c r="I167" s="46">
        <f>H167+C167</f>
        <v>178</v>
      </c>
      <c r="J167" s="204"/>
      <c r="K167" s="228"/>
      <c r="L167" s="99">
        <v>129</v>
      </c>
      <c r="M167" s="50">
        <f>L167+C167</f>
        <v>170</v>
      </c>
      <c r="N167" s="204"/>
      <c r="O167" s="228"/>
      <c r="P167" s="99">
        <v>128</v>
      </c>
      <c r="Q167" s="50">
        <f>P167+C167</f>
        <v>169</v>
      </c>
      <c r="R167" s="204"/>
      <c r="S167" s="228"/>
      <c r="T167" s="99">
        <v>117</v>
      </c>
      <c r="U167" s="50">
        <f>T167+C167</f>
        <v>158</v>
      </c>
      <c r="V167" s="204"/>
      <c r="W167" s="228"/>
      <c r="X167" s="47">
        <f t="shared" si="5"/>
        <v>852</v>
      </c>
      <c r="Y167" s="107">
        <f>D167+H167+L167+P167+T167</f>
        <v>647</v>
      </c>
      <c r="Z167" s="68">
        <f>AVERAGE(E167,I167,M167,Q167,U167)</f>
        <v>170.4</v>
      </c>
      <c r="AA167" s="144">
        <f>AVERAGE(E167,I167,M167,Q167,U167)-C167</f>
        <v>129.4</v>
      </c>
      <c r="AB167" s="221"/>
      <c r="AC167" s="44"/>
    </row>
    <row r="168" spans="1:28" s="38" customFormat="1" ht="53.25" customHeight="1">
      <c r="A168" s="217" t="s">
        <v>130</v>
      </c>
      <c r="B168" s="218"/>
      <c r="C168" s="149">
        <f>SUM(C169:C171)</f>
        <v>116</v>
      </c>
      <c r="D168" s="62">
        <f>SUM(D169:D171)</f>
        <v>461</v>
      </c>
      <c r="E168" s="45">
        <f>SUM(E169:E171)</f>
        <v>577</v>
      </c>
      <c r="F168" s="45">
        <f>E156</f>
        <v>493</v>
      </c>
      <c r="G168" s="42" t="str">
        <f>A156</f>
        <v>Toode</v>
      </c>
      <c r="H168" s="62">
        <f>SUM(H169:H171)</f>
        <v>420</v>
      </c>
      <c r="I168" s="45">
        <f>SUM(I169:I171)</f>
        <v>536</v>
      </c>
      <c r="J168" s="45">
        <f>I152</f>
        <v>485</v>
      </c>
      <c r="K168" s="42" t="str">
        <f>A152</f>
        <v>KLG viru</v>
      </c>
      <c r="L168" s="133">
        <f>SUM(L169:L171)</f>
        <v>439</v>
      </c>
      <c r="M168" s="69">
        <f>SUM(M169:M171)</f>
        <v>555</v>
      </c>
      <c r="N168" s="45">
        <f>M172</f>
        <v>510</v>
      </c>
      <c r="O168" s="42" t="str">
        <f>A172</f>
        <v>Raktoom</v>
      </c>
      <c r="P168" s="45">
        <f>SUM(P169:P171)</f>
        <v>421</v>
      </c>
      <c r="Q168" s="69">
        <f>SUM(Q169:Q171)</f>
        <v>537</v>
      </c>
      <c r="R168" s="45">
        <f>Q164</f>
        <v>502</v>
      </c>
      <c r="S168" s="42" t="str">
        <f>A164</f>
        <v>MP Auto</v>
      </c>
      <c r="T168" s="133">
        <f>SUM(T169:T171)</f>
        <v>411</v>
      </c>
      <c r="U168" s="69">
        <f>SUM(U169:U171)</f>
        <v>527</v>
      </c>
      <c r="V168" s="45">
        <f>U160</f>
        <v>522</v>
      </c>
      <c r="W168" s="42" t="str">
        <f>A160</f>
        <v>Wiru Ehitus</v>
      </c>
      <c r="X168" s="36">
        <f t="shared" si="5"/>
        <v>2732</v>
      </c>
      <c r="Y168" s="105">
        <f>SUM(Y169:Y171)</f>
        <v>2152</v>
      </c>
      <c r="Z168" s="65">
        <f>AVERAGE(Z169,Z170,Z171)</f>
        <v>182.13333333333333</v>
      </c>
      <c r="AA168" s="142">
        <f>AVERAGE(AA169,AA170,AA171)</f>
        <v>143.46666666666667</v>
      </c>
      <c r="AB168" s="219">
        <f>F169+J169+N169+R169+V169</f>
        <v>5</v>
      </c>
    </row>
    <row r="169" spans="1:28" s="38" customFormat="1" ht="15.75" customHeight="1">
      <c r="A169" s="222" t="s">
        <v>295</v>
      </c>
      <c r="B169" s="223"/>
      <c r="C169" s="150">
        <v>35</v>
      </c>
      <c r="D169" s="59">
        <v>123</v>
      </c>
      <c r="E169" s="50">
        <f>D169+C169</f>
        <v>158</v>
      </c>
      <c r="F169" s="224">
        <v>1</v>
      </c>
      <c r="G169" s="225"/>
      <c r="H169" s="97">
        <v>153</v>
      </c>
      <c r="I169" s="46">
        <f>H169+C169</f>
        <v>188</v>
      </c>
      <c r="J169" s="224">
        <v>1</v>
      </c>
      <c r="K169" s="225"/>
      <c r="L169" s="97">
        <v>150</v>
      </c>
      <c r="M169" s="50">
        <f>L169+C169</f>
        <v>185</v>
      </c>
      <c r="N169" s="224">
        <v>1</v>
      </c>
      <c r="O169" s="225"/>
      <c r="P169" s="97">
        <v>154</v>
      </c>
      <c r="Q169" s="50">
        <f>P169+C169</f>
        <v>189</v>
      </c>
      <c r="R169" s="224">
        <v>1</v>
      </c>
      <c r="S169" s="225"/>
      <c r="T169" s="97">
        <v>133</v>
      </c>
      <c r="U169" s="50">
        <f>T169+C169</f>
        <v>168</v>
      </c>
      <c r="V169" s="224">
        <v>1</v>
      </c>
      <c r="W169" s="225"/>
      <c r="X169" s="46">
        <f t="shared" si="5"/>
        <v>888</v>
      </c>
      <c r="Y169" s="106">
        <f>D169+H169+L169+P169+T169</f>
        <v>713</v>
      </c>
      <c r="Z169" s="67">
        <f>AVERAGE(E169,I169,M169,Q169,U169)</f>
        <v>177.6</v>
      </c>
      <c r="AA169" s="143">
        <f>AVERAGE(E169,I169,M169,Q169,U169)-C169</f>
        <v>142.6</v>
      </c>
      <c r="AB169" s="220"/>
    </row>
    <row r="170" spans="1:28" s="38" customFormat="1" ht="15.75" customHeight="1">
      <c r="A170" s="222" t="s">
        <v>122</v>
      </c>
      <c r="B170" s="223"/>
      <c r="C170" s="150">
        <v>48</v>
      </c>
      <c r="D170" s="59">
        <v>179</v>
      </c>
      <c r="E170" s="50">
        <f>D170+C170</f>
        <v>227</v>
      </c>
      <c r="F170" s="226"/>
      <c r="G170" s="227"/>
      <c r="H170" s="98">
        <v>142</v>
      </c>
      <c r="I170" s="46">
        <f>H170+C170</f>
        <v>190</v>
      </c>
      <c r="J170" s="226"/>
      <c r="K170" s="227"/>
      <c r="L170" s="98">
        <v>136</v>
      </c>
      <c r="M170" s="50">
        <f>L170+C170</f>
        <v>184</v>
      </c>
      <c r="N170" s="226"/>
      <c r="O170" s="227"/>
      <c r="P170" s="98">
        <v>123</v>
      </c>
      <c r="Q170" s="50">
        <f>P170+C170</f>
        <v>171</v>
      </c>
      <c r="R170" s="226"/>
      <c r="S170" s="227"/>
      <c r="T170" s="98">
        <v>114</v>
      </c>
      <c r="U170" s="50">
        <f>T170+C170</f>
        <v>162</v>
      </c>
      <c r="V170" s="226"/>
      <c r="W170" s="227"/>
      <c r="X170" s="46">
        <f t="shared" si="5"/>
        <v>934</v>
      </c>
      <c r="Y170" s="106">
        <f>D170+H170+L170+P170+T170</f>
        <v>694</v>
      </c>
      <c r="Z170" s="67">
        <f>AVERAGE(E170,I170,M170,Q170,U170)</f>
        <v>186.8</v>
      </c>
      <c r="AA170" s="143">
        <f>AVERAGE(E170,I170,M170,Q170,U170)-C170</f>
        <v>138.8</v>
      </c>
      <c r="AB170" s="220"/>
    </row>
    <row r="171" spans="1:28" s="38" customFormat="1" ht="15.75" customHeight="1" thickBot="1">
      <c r="A171" s="229" t="s">
        <v>129</v>
      </c>
      <c r="B171" s="230"/>
      <c r="C171" s="151">
        <v>33</v>
      </c>
      <c r="D171" s="60">
        <v>159</v>
      </c>
      <c r="E171" s="50">
        <f>D171+C171</f>
        <v>192</v>
      </c>
      <c r="F171" s="204"/>
      <c r="G171" s="228"/>
      <c r="H171" s="99">
        <v>125</v>
      </c>
      <c r="I171" s="46">
        <f>H171+C171</f>
        <v>158</v>
      </c>
      <c r="J171" s="204"/>
      <c r="K171" s="228"/>
      <c r="L171" s="99">
        <v>153</v>
      </c>
      <c r="M171" s="50">
        <f>L171+C171</f>
        <v>186</v>
      </c>
      <c r="N171" s="204"/>
      <c r="O171" s="228"/>
      <c r="P171" s="99">
        <v>144</v>
      </c>
      <c r="Q171" s="50">
        <f>P171+C171</f>
        <v>177</v>
      </c>
      <c r="R171" s="204"/>
      <c r="S171" s="228"/>
      <c r="T171" s="99">
        <v>164</v>
      </c>
      <c r="U171" s="50">
        <f>T171+C171</f>
        <v>197</v>
      </c>
      <c r="V171" s="204"/>
      <c r="W171" s="228"/>
      <c r="X171" s="47">
        <f t="shared" si="5"/>
        <v>910</v>
      </c>
      <c r="Y171" s="107">
        <f>D171+H171+L171+P171+T171</f>
        <v>745</v>
      </c>
      <c r="Z171" s="68">
        <f>AVERAGE(E171,I171,M171,Q171,U171)</f>
        <v>182</v>
      </c>
      <c r="AA171" s="144">
        <f>AVERAGE(E171,I171,M171,Q171,U171)-C171</f>
        <v>149</v>
      </c>
      <c r="AB171" s="221"/>
    </row>
    <row r="172" spans="1:28" s="38" customFormat="1" ht="42" customHeight="1">
      <c r="A172" s="217" t="s">
        <v>128</v>
      </c>
      <c r="B172" s="218"/>
      <c r="C172" s="149">
        <f>SUM(C173:C175)</f>
        <v>148</v>
      </c>
      <c r="D172" s="62">
        <f>SUM(D173:D175)</f>
        <v>373</v>
      </c>
      <c r="E172" s="45">
        <f>SUM(E173:E175)</f>
        <v>521</v>
      </c>
      <c r="F172" s="45">
        <f>E152</f>
        <v>498</v>
      </c>
      <c r="G172" s="42" t="str">
        <f>A152</f>
        <v>KLG viru</v>
      </c>
      <c r="H172" s="62">
        <f>SUM(H173:H175)</f>
        <v>323</v>
      </c>
      <c r="I172" s="45">
        <f>SUM(I173:I175)</f>
        <v>471</v>
      </c>
      <c r="J172" s="45">
        <f>I160</f>
        <v>467</v>
      </c>
      <c r="K172" s="42" t="str">
        <f>A160</f>
        <v>Wiru Ehitus</v>
      </c>
      <c r="L172" s="133">
        <f>SUM(L173:L175)</f>
        <v>362</v>
      </c>
      <c r="M172" s="49">
        <f>SUM(M173:M175)</f>
        <v>510</v>
      </c>
      <c r="N172" s="45">
        <f>M168</f>
        <v>555</v>
      </c>
      <c r="O172" s="42" t="str">
        <f>A168</f>
        <v>Uus Maa</v>
      </c>
      <c r="P172" s="45">
        <f>SUM(P173:P175)</f>
        <v>377</v>
      </c>
      <c r="Q172" s="49">
        <f>SUM(Q173:Q175)</f>
        <v>525</v>
      </c>
      <c r="R172" s="45">
        <f>Q156</f>
        <v>505</v>
      </c>
      <c r="S172" s="42" t="str">
        <f>A156</f>
        <v>Toode</v>
      </c>
      <c r="T172" s="133">
        <f>SUM(T173:T175)</f>
        <v>334</v>
      </c>
      <c r="U172" s="49">
        <f>SUM(U173:U175)</f>
        <v>482</v>
      </c>
      <c r="V172" s="45">
        <f>U164</f>
        <v>572</v>
      </c>
      <c r="W172" s="42" t="str">
        <f>A164</f>
        <v>MP Auto</v>
      </c>
      <c r="X172" s="36">
        <f t="shared" si="5"/>
        <v>2509</v>
      </c>
      <c r="Y172" s="105">
        <f>SUM(Y173:Y175)</f>
        <v>1769</v>
      </c>
      <c r="Z172" s="65">
        <f>AVERAGE(Z173,Z174,Z175)</f>
        <v>167.26666666666668</v>
      </c>
      <c r="AA172" s="142">
        <f>AVERAGE(AA173,AA174,AA175)</f>
        <v>117.93333333333332</v>
      </c>
      <c r="AB172" s="219">
        <f>F173+J173+N173+R173+V173</f>
        <v>3</v>
      </c>
    </row>
    <row r="173" spans="1:28" s="38" customFormat="1" ht="15.75" customHeight="1">
      <c r="A173" s="222" t="s">
        <v>283</v>
      </c>
      <c r="B173" s="223"/>
      <c r="C173" s="150">
        <v>50</v>
      </c>
      <c r="D173" s="59">
        <v>136</v>
      </c>
      <c r="E173" s="50">
        <f>D173+C173</f>
        <v>186</v>
      </c>
      <c r="F173" s="224">
        <v>1</v>
      </c>
      <c r="G173" s="225"/>
      <c r="H173" s="97">
        <v>129</v>
      </c>
      <c r="I173" s="46">
        <f>H173+C173</f>
        <v>179</v>
      </c>
      <c r="J173" s="224">
        <v>1</v>
      </c>
      <c r="K173" s="225"/>
      <c r="L173" s="97">
        <v>114</v>
      </c>
      <c r="M173" s="50">
        <f>L173+C173</f>
        <v>164</v>
      </c>
      <c r="N173" s="224">
        <v>0</v>
      </c>
      <c r="O173" s="225"/>
      <c r="P173" s="97">
        <v>132</v>
      </c>
      <c r="Q173" s="50">
        <f>P173+C173</f>
        <v>182</v>
      </c>
      <c r="R173" s="224">
        <v>1</v>
      </c>
      <c r="S173" s="225"/>
      <c r="T173" s="97">
        <v>137</v>
      </c>
      <c r="U173" s="50">
        <f>T173+C173</f>
        <v>187</v>
      </c>
      <c r="V173" s="224">
        <v>0</v>
      </c>
      <c r="W173" s="225"/>
      <c r="X173" s="46">
        <f t="shared" si="5"/>
        <v>898</v>
      </c>
      <c r="Y173" s="106">
        <f>D173+H173+L173+P173+T173</f>
        <v>648</v>
      </c>
      <c r="Z173" s="67">
        <f>AVERAGE(E173,I173,M173,Q173,U173)</f>
        <v>179.6</v>
      </c>
      <c r="AA173" s="143">
        <f>AVERAGE(E173,I173,M173,Q173,U173)-C173</f>
        <v>129.6</v>
      </c>
      <c r="AB173" s="220"/>
    </row>
    <row r="174" spans="1:28" s="38" customFormat="1" ht="15.75" customHeight="1">
      <c r="A174" s="222" t="s">
        <v>284</v>
      </c>
      <c r="B174" s="223"/>
      <c r="C174" s="150">
        <v>52</v>
      </c>
      <c r="D174" s="59">
        <v>126</v>
      </c>
      <c r="E174" s="50">
        <f>D174+C174</f>
        <v>178</v>
      </c>
      <c r="F174" s="226"/>
      <c r="G174" s="227"/>
      <c r="H174" s="98">
        <v>97</v>
      </c>
      <c r="I174" s="46">
        <f>H174+C174</f>
        <v>149</v>
      </c>
      <c r="J174" s="226"/>
      <c r="K174" s="227"/>
      <c r="L174" s="98">
        <v>133</v>
      </c>
      <c r="M174" s="50">
        <f>L174+C174</f>
        <v>185</v>
      </c>
      <c r="N174" s="226"/>
      <c r="O174" s="227"/>
      <c r="P174" s="98">
        <v>121</v>
      </c>
      <c r="Q174" s="50">
        <f>P174+C174</f>
        <v>173</v>
      </c>
      <c r="R174" s="226"/>
      <c r="S174" s="227"/>
      <c r="T174" s="98">
        <v>108</v>
      </c>
      <c r="U174" s="50">
        <f>T174+C174</f>
        <v>160</v>
      </c>
      <c r="V174" s="226"/>
      <c r="W174" s="227"/>
      <c r="X174" s="46">
        <f t="shared" si="5"/>
        <v>845</v>
      </c>
      <c r="Y174" s="106">
        <f>D174+H174+L174+P174+T174</f>
        <v>585</v>
      </c>
      <c r="Z174" s="67">
        <f>AVERAGE(E174,I174,M174,Q174,U174)</f>
        <v>169</v>
      </c>
      <c r="AA174" s="143">
        <f>AVERAGE(E174,I174,M174,Q174,U174)-C174</f>
        <v>117</v>
      </c>
      <c r="AB174" s="220"/>
    </row>
    <row r="175" spans="1:28" s="38" customFormat="1" ht="15.75" customHeight="1" thickBot="1">
      <c r="A175" s="229" t="s">
        <v>118</v>
      </c>
      <c r="B175" s="230"/>
      <c r="C175" s="151">
        <v>46</v>
      </c>
      <c r="D175" s="60">
        <v>111</v>
      </c>
      <c r="E175" s="50">
        <f>D175+C175</f>
        <v>157</v>
      </c>
      <c r="F175" s="204"/>
      <c r="G175" s="228"/>
      <c r="H175" s="99">
        <v>97</v>
      </c>
      <c r="I175" s="46">
        <f>H175+C175</f>
        <v>143</v>
      </c>
      <c r="J175" s="204"/>
      <c r="K175" s="228"/>
      <c r="L175" s="99">
        <v>115</v>
      </c>
      <c r="M175" s="50">
        <f>L175+C175</f>
        <v>161</v>
      </c>
      <c r="N175" s="204"/>
      <c r="O175" s="228"/>
      <c r="P175" s="99">
        <v>124</v>
      </c>
      <c r="Q175" s="50">
        <f>P175+C175</f>
        <v>170</v>
      </c>
      <c r="R175" s="204"/>
      <c r="S175" s="228"/>
      <c r="T175" s="99">
        <v>89</v>
      </c>
      <c r="U175" s="50">
        <f>T175+C175</f>
        <v>135</v>
      </c>
      <c r="V175" s="204"/>
      <c r="W175" s="228"/>
      <c r="X175" s="47">
        <f t="shared" si="5"/>
        <v>766</v>
      </c>
      <c r="Y175" s="107">
        <f>D175+H175+L175+P175+T175</f>
        <v>536</v>
      </c>
      <c r="Z175" s="68">
        <f>AVERAGE(E175,I175,M175,Q175,U175)</f>
        <v>153.2</v>
      </c>
      <c r="AA175" s="144">
        <f>AVERAGE(E175,I175,M175,Q175,U175)-C175</f>
        <v>107.19999999999999</v>
      </c>
      <c r="AB175" s="221"/>
    </row>
    <row r="176" spans="1:28" s="40" customFormat="1" ht="9" customHeight="1">
      <c r="A176" s="207" t="s">
        <v>313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4"/>
      <c r="W176" s="25"/>
      <c r="Y176" s="57"/>
      <c r="Z176" s="41"/>
      <c r="AA176" s="139"/>
      <c r="AB176" s="25"/>
    </row>
    <row r="177" spans="1:28" s="40" customFormat="1" ht="6" customHeight="1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4"/>
      <c r="W177" s="25"/>
      <c r="Y177" s="57"/>
      <c r="Z177" s="41"/>
      <c r="AA177" s="139"/>
      <c r="AB177" s="25"/>
    </row>
    <row r="178" spans="1:28" s="40" customFormat="1" ht="23.25" customHeight="1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5"/>
      <c r="W178" s="25"/>
      <c r="Y178" s="57"/>
      <c r="Z178" s="41"/>
      <c r="AA178" s="139"/>
      <c r="AB178" s="25"/>
    </row>
    <row r="179" spans="1:28" s="31" customFormat="1" ht="15.75" customHeight="1">
      <c r="A179" s="209" t="s">
        <v>0</v>
      </c>
      <c r="B179" s="210"/>
      <c r="C179" s="147" t="s">
        <v>39</v>
      </c>
      <c r="D179" s="55"/>
      <c r="E179" s="27" t="s">
        <v>1</v>
      </c>
      <c r="F179" s="211" t="s">
        <v>2</v>
      </c>
      <c r="G179" s="212"/>
      <c r="H179" s="94"/>
      <c r="I179" s="27" t="s">
        <v>3</v>
      </c>
      <c r="J179" s="211" t="s">
        <v>2</v>
      </c>
      <c r="K179" s="212"/>
      <c r="L179" s="94"/>
      <c r="M179" s="27" t="s">
        <v>4</v>
      </c>
      <c r="N179" s="211" t="s">
        <v>2</v>
      </c>
      <c r="O179" s="212"/>
      <c r="P179" s="94"/>
      <c r="Q179" s="27" t="s">
        <v>5</v>
      </c>
      <c r="R179" s="211" t="s">
        <v>2</v>
      </c>
      <c r="S179" s="212"/>
      <c r="T179" s="94"/>
      <c r="U179" s="27" t="s">
        <v>6</v>
      </c>
      <c r="V179" s="211" t="s">
        <v>2</v>
      </c>
      <c r="W179" s="212"/>
      <c r="X179" s="28" t="s">
        <v>7</v>
      </c>
      <c r="Y179" s="104"/>
      <c r="Z179" s="29" t="s">
        <v>40</v>
      </c>
      <c r="AA179" s="140" t="s">
        <v>42</v>
      </c>
      <c r="AB179" s="30" t="s">
        <v>7</v>
      </c>
    </row>
    <row r="180" spans="1:28" s="31" customFormat="1" ht="15.75" customHeight="1" thickBot="1">
      <c r="A180" s="213" t="s">
        <v>9</v>
      </c>
      <c r="B180" s="214"/>
      <c r="C180" s="148"/>
      <c r="D180" s="56"/>
      <c r="E180" s="32" t="s">
        <v>10</v>
      </c>
      <c r="F180" s="211" t="s">
        <v>11</v>
      </c>
      <c r="G180" s="212"/>
      <c r="H180" s="95"/>
      <c r="I180" s="32" t="s">
        <v>10</v>
      </c>
      <c r="J180" s="215" t="s">
        <v>11</v>
      </c>
      <c r="K180" s="216"/>
      <c r="L180" s="95"/>
      <c r="M180" s="32" t="s">
        <v>10</v>
      </c>
      <c r="N180" s="215" t="s">
        <v>11</v>
      </c>
      <c r="O180" s="216"/>
      <c r="P180" s="95"/>
      <c r="Q180" s="32" t="s">
        <v>10</v>
      </c>
      <c r="R180" s="215" t="s">
        <v>11</v>
      </c>
      <c r="S180" s="216"/>
      <c r="T180" s="95"/>
      <c r="U180" s="32" t="s">
        <v>10</v>
      </c>
      <c r="V180" s="215" t="s">
        <v>11</v>
      </c>
      <c r="W180" s="216"/>
      <c r="X180" s="33" t="s">
        <v>10</v>
      </c>
      <c r="Y180" s="134" t="s">
        <v>287</v>
      </c>
      <c r="Z180" s="34" t="s">
        <v>41</v>
      </c>
      <c r="AA180" s="141" t="s">
        <v>43</v>
      </c>
      <c r="AB180" s="35" t="s">
        <v>12</v>
      </c>
    </row>
    <row r="181" spans="1:28" s="38" customFormat="1" ht="42" customHeight="1">
      <c r="A181" s="217" t="s">
        <v>241</v>
      </c>
      <c r="B181" s="218"/>
      <c r="C181" s="149">
        <f>SUM(C182:C184)</f>
        <v>162</v>
      </c>
      <c r="D181" s="62">
        <f>SUM(D182:D184)</f>
        <v>312</v>
      </c>
      <c r="E181" s="63">
        <f>SUM(E182:E184)</f>
        <v>474</v>
      </c>
      <c r="F181" s="46">
        <f>E201</f>
        <v>443</v>
      </c>
      <c r="G181" s="64" t="str">
        <f>A201</f>
        <v>Nordic Tsement</v>
      </c>
      <c r="H181" s="62">
        <f>SUM(H182:H184)</f>
        <v>394</v>
      </c>
      <c r="I181" s="49">
        <f>SUM(I182:I184)</f>
        <v>556</v>
      </c>
      <c r="J181" s="49">
        <f>I197</f>
        <v>518</v>
      </c>
      <c r="K181" s="42" t="str">
        <f>A197</f>
        <v>Tapa Linna-valitsus</v>
      </c>
      <c r="L181" s="58">
        <f>SUM(L182:L184)</f>
        <v>372</v>
      </c>
      <c r="M181" s="45">
        <f>SUM(M182:M184)</f>
        <v>534</v>
      </c>
      <c r="N181" s="45">
        <f>M193</f>
        <v>520</v>
      </c>
      <c r="O181" s="42" t="str">
        <f>A193</f>
        <v>Assar Lukuauk</v>
      </c>
      <c r="P181" s="45">
        <f>SUM(P182:P184)</f>
        <v>386</v>
      </c>
      <c r="Q181" s="45">
        <f>SUM(Q182:Q184)</f>
        <v>548</v>
      </c>
      <c r="R181" s="45">
        <f>Q189</f>
        <v>593</v>
      </c>
      <c r="S181" s="42" t="str">
        <f>A189</f>
        <v>Eesti Energia</v>
      </c>
      <c r="T181" s="133">
        <f>SUM(T182:T184)</f>
        <v>367</v>
      </c>
      <c r="U181" s="45">
        <f>SUM(U182:U184)</f>
        <v>529</v>
      </c>
      <c r="V181" s="45">
        <f>U185</f>
        <v>530</v>
      </c>
      <c r="W181" s="42" t="str">
        <f>A185</f>
        <v>Vest-Wood 3</v>
      </c>
      <c r="X181" s="36">
        <f aca="true" t="shared" si="6" ref="X181:X204">E181+I181+M181+Q181+U181</f>
        <v>2641</v>
      </c>
      <c r="Y181" s="105">
        <f>SUM(Y182:Y184)</f>
        <v>1831</v>
      </c>
      <c r="Z181" s="37">
        <f>AVERAGE(Z182,Z183,Z184)</f>
        <v>176.0666666666667</v>
      </c>
      <c r="AA181" s="142">
        <f>AVERAGE(AA182,AA183,AA184)</f>
        <v>122.06666666666666</v>
      </c>
      <c r="AB181" s="219">
        <f>F182+J182+N182+R182+V182</f>
        <v>3</v>
      </c>
    </row>
    <row r="182" spans="1:28" s="38" customFormat="1" ht="15.75" customHeight="1">
      <c r="A182" s="222" t="s">
        <v>242</v>
      </c>
      <c r="B182" s="223"/>
      <c r="C182" s="150">
        <v>60</v>
      </c>
      <c r="D182" s="59">
        <v>93</v>
      </c>
      <c r="E182" s="50">
        <f>D182+C182</f>
        <v>153</v>
      </c>
      <c r="F182" s="224">
        <v>1</v>
      </c>
      <c r="G182" s="225"/>
      <c r="H182" s="97">
        <v>114</v>
      </c>
      <c r="I182" s="46">
        <f>H182+C182</f>
        <v>174</v>
      </c>
      <c r="J182" s="224">
        <v>1</v>
      </c>
      <c r="K182" s="225"/>
      <c r="L182" s="97">
        <v>100</v>
      </c>
      <c r="M182" s="50">
        <f>L182+C182</f>
        <v>160</v>
      </c>
      <c r="N182" s="224">
        <v>1</v>
      </c>
      <c r="O182" s="225"/>
      <c r="P182" s="97">
        <v>117</v>
      </c>
      <c r="Q182" s="50">
        <f>P182+C182</f>
        <v>177</v>
      </c>
      <c r="R182" s="224">
        <v>0</v>
      </c>
      <c r="S182" s="225"/>
      <c r="T182" s="97">
        <v>99</v>
      </c>
      <c r="U182" s="50">
        <f>T182+C182</f>
        <v>159</v>
      </c>
      <c r="V182" s="224">
        <v>0</v>
      </c>
      <c r="W182" s="225"/>
      <c r="X182" s="46">
        <f t="shared" si="6"/>
        <v>823</v>
      </c>
      <c r="Y182" s="106">
        <f>D182+H182+L182+P182+T182</f>
        <v>523</v>
      </c>
      <c r="Z182" s="67">
        <f>AVERAGE(E182,I182,M182,Q182,U182)</f>
        <v>164.6</v>
      </c>
      <c r="AA182" s="143">
        <f>AVERAGE(E182,I182,M182,Q182,U182)-C182</f>
        <v>104.6</v>
      </c>
      <c r="AB182" s="220"/>
    </row>
    <row r="183" spans="1:28" s="38" customFormat="1" ht="15.75" customHeight="1">
      <c r="A183" s="222" t="s">
        <v>268</v>
      </c>
      <c r="B183" s="223"/>
      <c r="C183" s="150">
        <v>42</v>
      </c>
      <c r="D183" s="59">
        <v>124</v>
      </c>
      <c r="E183" s="50">
        <f>D183+C183</f>
        <v>166</v>
      </c>
      <c r="F183" s="226"/>
      <c r="G183" s="227"/>
      <c r="H183" s="98">
        <v>166</v>
      </c>
      <c r="I183" s="46">
        <f>H183+C183</f>
        <v>208</v>
      </c>
      <c r="J183" s="226"/>
      <c r="K183" s="227"/>
      <c r="L183" s="98">
        <v>145</v>
      </c>
      <c r="M183" s="50">
        <f>L183+C183</f>
        <v>187</v>
      </c>
      <c r="N183" s="226"/>
      <c r="O183" s="227"/>
      <c r="P183" s="98">
        <v>160</v>
      </c>
      <c r="Q183" s="50">
        <f>P183+C183</f>
        <v>202</v>
      </c>
      <c r="R183" s="226"/>
      <c r="S183" s="227"/>
      <c r="T183" s="98">
        <v>140</v>
      </c>
      <c r="U183" s="50">
        <f>T183+C183</f>
        <v>182</v>
      </c>
      <c r="V183" s="226"/>
      <c r="W183" s="227"/>
      <c r="X183" s="46">
        <f t="shared" si="6"/>
        <v>945</v>
      </c>
      <c r="Y183" s="106">
        <f>D183+H183+L183+P183+T183</f>
        <v>735</v>
      </c>
      <c r="Z183" s="67">
        <f>AVERAGE(E183,I183,M183,Q183,U183)</f>
        <v>189</v>
      </c>
      <c r="AA183" s="143">
        <f>AVERAGE(E183,I183,M183,Q183,U183)-C183</f>
        <v>147</v>
      </c>
      <c r="AB183" s="220"/>
    </row>
    <row r="184" spans="1:28" s="38" customFormat="1" ht="16.5" customHeight="1" thickBot="1">
      <c r="A184" s="229" t="s">
        <v>244</v>
      </c>
      <c r="B184" s="230"/>
      <c r="C184" s="151">
        <v>60</v>
      </c>
      <c r="D184" s="60">
        <v>95</v>
      </c>
      <c r="E184" s="50">
        <f>D184+C184</f>
        <v>155</v>
      </c>
      <c r="F184" s="204"/>
      <c r="G184" s="228"/>
      <c r="H184" s="99">
        <v>114</v>
      </c>
      <c r="I184" s="46">
        <f>H184+C184</f>
        <v>174</v>
      </c>
      <c r="J184" s="204"/>
      <c r="K184" s="228"/>
      <c r="L184" s="99">
        <v>127</v>
      </c>
      <c r="M184" s="50">
        <f>L184+C184</f>
        <v>187</v>
      </c>
      <c r="N184" s="204"/>
      <c r="O184" s="228"/>
      <c r="P184" s="99">
        <v>109</v>
      </c>
      <c r="Q184" s="50">
        <f>P184+C184</f>
        <v>169</v>
      </c>
      <c r="R184" s="204"/>
      <c r="S184" s="228"/>
      <c r="T184" s="99">
        <v>128</v>
      </c>
      <c r="U184" s="50">
        <f>T184+C184</f>
        <v>188</v>
      </c>
      <c r="V184" s="204"/>
      <c r="W184" s="228"/>
      <c r="X184" s="47">
        <f t="shared" si="6"/>
        <v>873</v>
      </c>
      <c r="Y184" s="107">
        <f>D184+H184+L184+P184+T184</f>
        <v>573</v>
      </c>
      <c r="Z184" s="68">
        <f>AVERAGE(E184,I184,M184,Q184,U184)</f>
        <v>174.6</v>
      </c>
      <c r="AA184" s="144">
        <f>AVERAGE(E184,I184,M184,Q184,U184)-C184</f>
        <v>114.6</v>
      </c>
      <c r="AB184" s="221"/>
    </row>
    <row r="185" spans="1:28" s="38" customFormat="1" ht="41.25" customHeight="1">
      <c r="A185" s="217" t="s">
        <v>74</v>
      </c>
      <c r="B185" s="218"/>
      <c r="C185" s="149">
        <f>SUM(C186:C188)</f>
        <v>137</v>
      </c>
      <c r="D185" s="62">
        <f>SUM(D186:D188)</f>
        <v>373</v>
      </c>
      <c r="E185" s="45">
        <f>SUM(E186:E188)</f>
        <v>510</v>
      </c>
      <c r="F185" s="45">
        <f>E197</f>
        <v>462</v>
      </c>
      <c r="G185" s="42" t="str">
        <f>A197</f>
        <v>Tapa Linna-valitsus</v>
      </c>
      <c r="H185" s="62">
        <f>SUM(H186:H188)</f>
        <v>404</v>
      </c>
      <c r="I185" s="45">
        <f>SUM(I186:I188)</f>
        <v>541</v>
      </c>
      <c r="J185" s="45">
        <f>I193</f>
        <v>465</v>
      </c>
      <c r="K185" s="42" t="str">
        <f>A193</f>
        <v>Assar Lukuauk</v>
      </c>
      <c r="L185" s="133">
        <f>SUM(L186:L188)</f>
        <v>396</v>
      </c>
      <c r="M185" s="49">
        <f>SUM(M186:M188)</f>
        <v>533</v>
      </c>
      <c r="N185" s="45">
        <f>M189</f>
        <v>492</v>
      </c>
      <c r="O185" s="42" t="str">
        <f>A189</f>
        <v>Eesti Energia</v>
      </c>
      <c r="P185" s="45">
        <f>SUM(P186:P188)</f>
        <v>358</v>
      </c>
      <c r="Q185" s="49">
        <f>SUM(Q186:Q188)</f>
        <v>495</v>
      </c>
      <c r="R185" s="45">
        <f>Q201</f>
        <v>523</v>
      </c>
      <c r="S185" s="42" t="str">
        <f>A201</f>
        <v>Nordic Tsement</v>
      </c>
      <c r="T185" s="133">
        <f>SUM(T186:T188)</f>
        <v>393</v>
      </c>
      <c r="U185" s="49">
        <f>SUM(U186:U188)</f>
        <v>530</v>
      </c>
      <c r="V185" s="45">
        <f>U181</f>
        <v>529</v>
      </c>
      <c r="W185" s="42" t="str">
        <f>A181</f>
        <v>Näpi Saeveski 2</v>
      </c>
      <c r="X185" s="36">
        <f t="shared" si="6"/>
        <v>2609</v>
      </c>
      <c r="Y185" s="105">
        <f>SUM(Y186:Y188)</f>
        <v>1924</v>
      </c>
      <c r="Z185" s="65">
        <f>AVERAGE(Z186,Z187,Z188)</f>
        <v>173.9333333333333</v>
      </c>
      <c r="AA185" s="142">
        <f>AVERAGE(AA186,AA187,AA188)</f>
        <v>128.26666666666668</v>
      </c>
      <c r="AB185" s="219">
        <f>F186+J186+N186+R186+V186</f>
        <v>4</v>
      </c>
    </row>
    <row r="186" spans="1:28" s="38" customFormat="1" ht="15.75" customHeight="1">
      <c r="A186" s="222" t="s">
        <v>83</v>
      </c>
      <c r="B186" s="223"/>
      <c r="C186" s="150">
        <v>42</v>
      </c>
      <c r="D186" s="59">
        <v>154</v>
      </c>
      <c r="E186" s="50">
        <f>D186+C186</f>
        <v>196</v>
      </c>
      <c r="F186" s="224">
        <v>1</v>
      </c>
      <c r="G186" s="225"/>
      <c r="H186" s="97">
        <v>144</v>
      </c>
      <c r="I186" s="46">
        <f>H186+C186</f>
        <v>186</v>
      </c>
      <c r="J186" s="224">
        <v>1</v>
      </c>
      <c r="K186" s="225"/>
      <c r="L186" s="97">
        <v>120</v>
      </c>
      <c r="M186" s="50">
        <f>L186+C186</f>
        <v>162</v>
      </c>
      <c r="N186" s="224">
        <v>1</v>
      </c>
      <c r="O186" s="225"/>
      <c r="P186" s="97">
        <v>117</v>
      </c>
      <c r="Q186" s="50">
        <f>P186+C186</f>
        <v>159</v>
      </c>
      <c r="R186" s="224">
        <v>0</v>
      </c>
      <c r="S186" s="225"/>
      <c r="T186" s="97">
        <v>160</v>
      </c>
      <c r="U186" s="50">
        <f>T186+C186</f>
        <v>202</v>
      </c>
      <c r="V186" s="224">
        <v>1</v>
      </c>
      <c r="W186" s="225"/>
      <c r="X186" s="46">
        <f t="shared" si="6"/>
        <v>905</v>
      </c>
      <c r="Y186" s="106">
        <f>D186+H186+L186+P186+T186</f>
        <v>695</v>
      </c>
      <c r="Z186" s="67">
        <f>AVERAGE(E186,I186,M186,Q186,U186)</f>
        <v>181</v>
      </c>
      <c r="AA186" s="143">
        <f>AVERAGE(E186,I186,M186,Q186,U186)-C186</f>
        <v>139</v>
      </c>
      <c r="AB186" s="220"/>
    </row>
    <row r="187" spans="1:28" s="38" customFormat="1" ht="15.75" customHeight="1">
      <c r="A187" s="222" t="s">
        <v>82</v>
      </c>
      <c r="B187" s="223"/>
      <c r="C187" s="150">
        <v>60</v>
      </c>
      <c r="D187" s="59">
        <v>110</v>
      </c>
      <c r="E187" s="50">
        <f>D187+C187</f>
        <v>170</v>
      </c>
      <c r="F187" s="226"/>
      <c r="G187" s="227"/>
      <c r="H187" s="98">
        <v>107</v>
      </c>
      <c r="I187" s="46">
        <f>H187+C187</f>
        <v>167</v>
      </c>
      <c r="J187" s="226"/>
      <c r="K187" s="227"/>
      <c r="L187" s="98">
        <v>98</v>
      </c>
      <c r="M187" s="50">
        <f>L187+C187</f>
        <v>158</v>
      </c>
      <c r="N187" s="226"/>
      <c r="O187" s="227"/>
      <c r="P187" s="98">
        <v>125</v>
      </c>
      <c r="Q187" s="50">
        <f>P187+C187</f>
        <v>185</v>
      </c>
      <c r="R187" s="226"/>
      <c r="S187" s="227"/>
      <c r="T187" s="98">
        <v>125</v>
      </c>
      <c r="U187" s="50">
        <f>T187+C187</f>
        <v>185</v>
      </c>
      <c r="V187" s="226"/>
      <c r="W187" s="227"/>
      <c r="X187" s="46">
        <f t="shared" si="6"/>
        <v>865</v>
      </c>
      <c r="Y187" s="106">
        <f>D187+H187+L187+P187+T187</f>
        <v>565</v>
      </c>
      <c r="Z187" s="67">
        <f>AVERAGE(E187,I187,M187,Q187,U187)</f>
        <v>173</v>
      </c>
      <c r="AA187" s="143">
        <f>AVERAGE(E187,I187,M187,Q187,U187)-C187</f>
        <v>113</v>
      </c>
      <c r="AB187" s="220"/>
    </row>
    <row r="188" spans="1:28" s="38" customFormat="1" ht="15.75" customHeight="1" thickBot="1">
      <c r="A188" s="229" t="s">
        <v>81</v>
      </c>
      <c r="B188" s="230"/>
      <c r="C188" s="151">
        <v>35</v>
      </c>
      <c r="D188" s="60">
        <v>109</v>
      </c>
      <c r="E188" s="50">
        <f>D188+C188</f>
        <v>144</v>
      </c>
      <c r="F188" s="204"/>
      <c r="G188" s="228"/>
      <c r="H188" s="99">
        <v>153</v>
      </c>
      <c r="I188" s="46">
        <f>H188+C188</f>
        <v>188</v>
      </c>
      <c r="J188" s="204"/>
      <c r="K188" s="228"/>
      <c r="L188" s="99">
        <v>178</v>
      </c>
      <c r="M188" s="50">
        <f>L188+C188</f>
        <v>213</v>
      </c>
      <c r="N188" s="204"/>
      <c r="O188" s="228"/>
      <c r="P188" s="99">
        <v>116</v>
      </c>
      <c r="Q188" s="50">
        <f>P188+C188</f>
        <v>151</v>
      </c>
      <c r="R188" s="204"/>
      <c r="S188" s="228"/>
      <c r="T188" s="99">
        <v>108</v>
      </c>
      <c r="U188" s="50">
        <f>T188+C188</f>
        <v>143</v>
      </c>
      <c r="V188" s="204"/>
      <c r="W188" s="228"/>
      <c r="X188" s="47">
        <f t="shared" si="6"/>
        <v>839</v>
      </c>
      <c r="Y188" s="107">
        <f>D188+H188+L188+P188+T188</f>
        <v>664</v>
      </c>
      <c r="Z188" s="68">
        <f>AVERAGE(E188,I188,M188,Q188,U188)</f>
        <v>167.8</v>
      </c>
      <c r="AA188" s="144">
        <f>AVERAGE(E188,I188,M188,Q188,U188)-C188</f>
        <v>132.8</v>
      </c>
      <c r="AB188" s="221"/>
    </row>
    <row r="189" spans="1:28" s="38" customFormat="1" ht="47.25" customHeight="1">
      <c r="A189" s="217" t="s">
        <v>164</v>
      </c>
      <c r="B189" s="218"/>
      <c r="C189" s="149">
        <f>SUM(C190:C192)</f>
        <v>142</v>
      </c>
      <c r="D189" s="62">
        <f>SUM(D190:D192)</f>
        <v>367</v>
      </c>
      <c r="E189" s="45">
        <f>SUM(E190:E192)</f>
        <v>509</v>
      </c>
      <c r="F189" s="45">
        <f>E193</f>
        <v>511</v>
      </c>
      <c r="G189" s="42" t="str">
        <f>A193</f>
        <v>Assar Lukuauk</v>
      </c>
      <c r="H189" s="62">
        <f>SUM(H190:H192)</f>
        <v>358</v>
      </c>
      <c r="I189" s="45">
        <f>SUM(I190:I192)</f>
        <v>500</v>
      </c>
      <c r="J189" s="45">
        <f>I201</f>
        <v>500</v>
      </c>
      <c r="K189" s="42" t="str">
        <f>A201</f>
        <v>Nordic Tsement</v>
      </c>
      <c r="L189" s="133">
        <f>SUM(L190:L192)</f>
        <v>350</v>
      </c>
      <c r="M189" s="69">
        <f>SUM(M190:M192)</f>
        <v>492</v>
      </c>
      <c r="N189" s="45">
        <f>M185</f>
        <v>533</v>
      </c>
      <c r="O189" s="42" t="str">
        <f>A185</f>
        <v>Vest-Wood 3</v>
      </c>
      <c r="P189" s="45">
        <f>SUM(P190:P192)</f>
        <v>451</v>
      </c>
      <c r="Q189" s="49">
        <f>SUM(Q190:Q192)</f>
        <v>593</v>
      </c>
      <c r="R189" s="45">
        <f>Q181</f>
        <v>548</v>
      </c>
      <c r="S189" s="42" t="str">
        <f>A181</f>
        <v>Näpi Saeveski 2</v>
      </c>
      <c r="T189" s="133">
        <f>SUM(T190:T192)</f>
        <v>358</v>
      </c>
      <c r="U189" s="69">
        <f>SUM(U190:U192)</f>
        <v>500</v>
      </c>
      <c r="V189" s="45">
        <f>U197</f>
        <v>525</v>
      </c>
      <c r="W189" s="42" t="str">
        <f>A197</f>
        <v>Tapa Linna-valitsus</v>
      </c>
      <c r="X189" s="36">
        <f t="shared" si="6"/>
        <v>2594</v>
      </c>
      <c r="Y189" s="105">
        <f>SUM(Y190:Y192)</f>
        <v>1884</v>
      </c>
      <c r="Z189" s="65">
        <f>AVERAGE(Z190,Z191,Z192)</f>
        <v>172.9333333333333</v>
      </c>
      <c r="AA189" s="142">
        <f>AVERAGE(AA190,AA191,AA192)</f>
        <v>125.59999999999998</v>
      </c>
      <c r="AB189" s="219">
        <f>F190+J190+N190+R190+V190</f>
        <v>1.5</v>
      </c>
    </row>
    <row r="190" spans="1:28" s="38" customFormat="1" ht="15.75" customHeight="1">
      <c r="A190" s="222" t="s">
        <v>261</v>
      </c>
      <c r="B190" s="223"/>
      <c r="C190" s="150">
        <v>48</v>
      </c>
      <c r="D190" s="59">
        <v>111</v>
      </c>
      <c r="E190" s="50">
        <f>D190+C190</f>
        <v>159</v>
      </c>
      <c r="F190" s="224">
        <v>0</v>
      </c>
      <c r="G190" s="225"/>
      <c r="H190" s="97">
        <v>159</v>
      </c>
      <c r="I190" s="46">
        <f>H190+C190</f>
        <v>207</v>
      </c>
      <c r="J190" s="224">
        <v>0.5</v>
      </c>
      <c r="K190" s="225"/>
      <c r="L190" s="97">
        <v>100</v>
      </c>
      <c r="M190" s="50">
        <f>L190+C190</f>
        <v>148</v>
      </c>
      <c r="N190" s="224">
        <v>0</v>
      </c>
      <c r="O190" s="225"/>
      <c r="P190" s="97">
        <v>172</v>
      </c>
      <c r="Q190" s="50">
        <f>P190+C190</f>
        <v>220</v>
      </c>
      <c r="R190" s="224">
        <v>1</v>
      </c>
      <c r="S190" s="225"/>
      <c r="T190" s="97">
        <v>143</v>
      </c>
      <c r="U190" s="50">
        <f>T190+C190</f>
        <v>191</v>
      </c>
      <c r="V190" s="224">
        <v>0</v>
      </c>
      <c r="W190" s="225"/>
      <c r="X190" s="46">
        <f t="shared" si="6"/>
        <v>925</v>
      </c>
      <c r="Y190" s="106">
        <f>D190+H190+L190+P190+T190</f>
        <v>685</v>
      </c>
      <c r="Z190" s="67">
        <f>AVERAGE(E190,I190,M190,Q190,U190)</f>
        <v>185</v>
      </c>
      <c r="AA190" s="143">
        <f>AVERAGE(E190,I190,M190,Q190,U190)-C190</f>
        <v>137</v>
      </c>
      <c r="AB190" s="220"/>
    </row>
    <row r="191" spans="1:28" s="38" customFormat="1" ht="15.75" customHeight="1">
      <c r="A191" s="222" t="s">
        <v>150</v>
      </c>
      <c r="B191" s="223"/>
      <c r="C191" s="150">
        <v>60</v>
      </c>
      <c r="D191" s="59">
        <v>108</v>
      </c>
      <c r="E191" s="50">
        <f>D191+C191</f>
        <v>168</v>
      </c>
      <c r="F191" s="226"/>
      <c r="G191" s="227"/>
      <c r="H191" s="98">
        <v>71</v>
      </c>
      <c r="I191" s="46">
        <f>H191+C191</f>
        <v>131</v>
      </c>
      <c r="J191" s="226"/>
      <c r="K191" s="227"/>
      <c r="L191" s="98">
        <v>92</v>
      </c>
      <c r="M191" s="50">
        <f>L191+C191</f>
        <v>152</v>
      </c>
      <c r="N191" s="226"/>
      <c r="O191" s="227"/>
      <c r="P191" s="98">
        <v>89</v>
      </c>
      <c r="Q191" s="50">
        <f>P191+C191</f>
        <v>149</v>
      </c>
      <c r="R191" s="226"/>
      <c r="S191" s="227"/>
      <c r="T191" s="98">
        <v>93</v>
      </c>
      <c r="U191" s="50">
        <f>T191+C191</f>
        <v>153</v>
      </c>
      <c r="V191" s="226"/>
      <c r="W191" s="227"/>
      <c r="X191" s="46">
        <f t="shared" si="6"/>
        <v>753</v>
      </c>
      <c r="Y191" s="106">
        <f>D191+H191+L191+P191+T191</f>
        <v>453</v>
      </c>
      <c r="Z191" s="67">
        <f>AVERAGE(E191,I191,M191,Q191,U191)</f>
        <v>150.6</v>
      </c>
      <c r="AA191" s="143">
        <f>AVERAGE(E191,I191,M191,Q191,U191)-C191</f>
        <v>90.6</v>
      </c>
      <c r="AB191" s="220"/>
    </row>
    <row r="192" spans="1:28" s="38" customFormat="1" ht="15.75" customHeight="1" thickBot="1">
      <c r="A192" s="229" t="s">
        <v>151</v>
      </c>
      <c r="B192" s="230"/>
      <c r="C192" s="151">
        <v>34</v>
      </c>
      <c r="D192" s="60">
        <v>148</v>
      </c>
      <c r="E192" s="50">
        <f>D192+C192</f>
        <v>182</v>
      </c>
      <c r="F192" s="204"/>
      <c r="G192" s="228"/>
      <c r="H192" s="99">
        <v>128</v>
      </c>
      <c r="I192" s="46">
        <f>H192+C192</f>
        <v>162</v>
      </c>
      <c r="J192" s="204"/>
      <c r="K192" s="228"/>
      <c r="L192" s="99">
        <v>158</v>
      </c>
      <c r="M192" s="50">
        <f>L192+C192</f>
        <v>192</v>
      </c>
      <c r="N192" s="204"/>
      <c r="O192" s="228"/>
      <c r="P192" s="99">
        <v>190</v>
      </c>
      <c r="Q192" s="50">
        <f>P192+C192</f>
        <v>224</v>
      </c>
      <c r="R192" s="204"/>
      <c r="S192" s="228"/>
      <c r="T192" s="99">
        <v>122</v>
      </c>
      <c r="U192" s="50">
        <f>T192+C192</f>
        <v>156</v>
      </c>
      <c r="V192" s="204"/>
      <c r="W192" s="228"/>
      <c r="X192" s="47">
        <f t="shared" si="6"/>
        <v>916</v>
      </c>
      <c r="Y192" s="107">
        <f>D192+H192+L192+P192+T192</f>
        <v>746</v>
      </c>
      <c r="Z192" s="68">
        <f>AVERAGE(E192,I192,M192,Q192,U192)</f>
        <v>183.2</v>
      </c>
      <c r="AA192" s="144">
        <f>AVERAGE(E192,I192,M192,Q192,U192)-C192</f>
        <v>149.2</v>
      </c>
      <c r="AB192" s="221"/>
    </row>
    <row r="193" spans="1:28" s="38" customFormat="1" ht="39" customHeight="1">
      <c r="A193" s="217" t="s">
        <v>224</v>
      </c>
      <c r="B193" s="218"/>
      <c r="C193" s="149">
        <f>SUM(C194:C196)</f>
        <v>127</v>
      </c>
      <c r="D193" s="62">
        <f>SUM(D194:D196)</f>
        <v>384</v>
      </c>
      <c r="E193" s="45">
        <f>SUM(E194:E196)</f>
        <v>511</v>
      </c>
      <c r="F193" s="45">
        <f>E189</f>
        <v>509</v>
      </c>
      <c r="G193" s="42" t="str">
        <f>A189</f>
        <v>Eesti Energia</v>
      </c>
      <c r="H193" s="62">
        <f>SUM(H194:H196)</f>
        <v>338</v>
      </c>
      <c r="I193" s="45">
        <f>SUM(I194:I196)</f>
        <v>465</v>
      </c>
      <c r="J193" s="45">
        <f>I185</f>
        <v>541</v>
      </c>
      <c r="K193" s="42" t="str">
        <f>A185</f>
        <v>Vest-Wood 3</v>
      </c>
      <c r="L193" s="133">
        <f>SUM(L194:L196)</f>
        <v>393</v>
      </c>
      <c r="M193" s="49">
        <f>SUM(M194:M196)</f>
        <v>520</v>
      </c>
      <c r="N193" s="45">
        <f>M181</f>
        <v>534</v>
      </c>
      <c r="O193" s="42" t="str">
        <f>A181</f>
        <v>Näpi Saeveski 2</v>
      </c>
      <c r="P193" s="45">
        <f>SUM(P194:P196)</f>
        <v>328</v>
      </c>
      <c r="Q193" s="49">
        <f>SUM(Q194:Q196)</f>
        <v>455</v>
      </c>
      <c r="R193" s="45">
        <f>Q197</f>
        <v>571</v>
      </c>
      <c r="S193" s="42" t="str">
        <f>A197</f>
        <v>Tapa Linna-valitsus</v>
      </c>
      <c r="T193" s="133">
        <f>SUM(T194:T196)</f>
        <v>397</v>
      </c>
      <c r="U193" s="49">
        <f>SUM(U194:U196)</f>
        <v>524</v>
      </c>
      <c r="V193" s="45">
        <f>U201</f>
        <v>587</v>
      </c>
      <c r="W193" s="42" t="str">
        <f>A201</f>
        <v>Nordic Tsement</v>
      </c>
      <c r="X193" s="36">
        <f t="shared" si="6"/>
        <v>2475</v>
      </c>
      <c r="Y193" s="105">
        <f>SUM(Y194:Y196)</f>
        <v>1840</v>
      </c>
      <c r="Z193" s="65">
        <f>AVERAGE(Z194,Z195,Z196)</f>
        <v>164.99999999999997</v>
      </c>
      <c r="AA193" s="142">
        <f>AVERAGE(AA194,AA195,AA196)</f>
        <v>122.66666666666667</v>
      </c>
      <c r="AB193" s="219">
        <f>F194+J194+N194+R194+V194</f>
        <v>1</v>
      </c>
    </row>
    <row r="194" spans="1:28" s="38" customFormat="1" ht="15.75" customHeight="1">
      <c r="A194" s="222" t="s">
        <v>219</v>
      </c>
      <c r="B194" s="223"/>
      <c r="C194" s="150">
        <v>31</v>
      </c>
      <c r="D194" s="59">
        <v>159</v>
      </c>
      <c r="E194" s="50">
        <f>D194+C194</f>
        <v>190</v>
      </c>
      <c r="F194" s="224">
        <v>1</v>
      </c>
      <c r="G194" s="225"/>
      <c r="H194" s="97">
        <v>119</v>
      </c>
      <c r="I194" s="46">
        <f>H194+C194</f>
        <v>150</v>
      </c>
      <c r="J194" s="224">
        <v>0</v>
      </c>
      <c r="K194" s="225"/>
      <c r="L194" s="97">
        <v>145</v>
      </c>
      <c r="M194" s="50">
        <f>L194+C194</f>
        <v>176</v>
      </c>
      <c r="N194" s="224">
        <v>0</v>
      </c>
      <c r="O194" s="225"/>
      <c r="P194" s="97">
        <v>120</v>
      </c>
      <c r="Q194" s="50">
        <f>P194+C194</f>
        <v>151</v>
      </c>
      <c r="R194" s="224">
        <v>0</v>
      </c>
      <c r="S194" s="225"/>
      <c r="T194" s="97">
        <v>155</v>
      </c>
      <c r="U194" s="50">
        <f>T194+C194</f>
        <v>186</v>
      </c>
      <c r="V194" s="224">
        <v>0</v>
      </c>
      <c r="W194" s="225"/>
      <c r="X194" s="46">
        <f t="shared" si="6"/>
        <v>853</v>
      </c>
      <c r="Y194" s="106">
        <f>D194+H194+L194+P194+T194</f>
        <v>698</v>
      </c>
      <c r="Z194" s="67">
        <f>AVERAGE(E194,I194,M194,Q194,U194)</f>
        <v>170.6</v>
      </c>
      <c r="AA194" s="143">
        <f>AVERAGE(E194,I194,M194,Q194,U194)-C194</f>
        <v>139.6</v>
      </c>
      <c r="AB194" s="220"/>
    </row>
    <row r="195" spans="1:28" s="38" customFormat="1" ht="15.75" customHeight="1">
      <c r="A195" s="222" t="s">
        <v>314</v>
      </c>
      <c r="B195" s="223"/>
      <c r="C195" s="150">
        <v>60</v>
      </c>
      <c r="D195" s="59">
        <v>86</v>
      </c>
      <c r="E195" s="50">
        <f>D195+C195</f>
        <v>146</v>
      </c>
      <c r="F195" s="226"/>
      <c r="G195" s="227"/>
      <c r="H195" s="98">
        <v>106</v>
      </c>
      <c r="I195" s="46">
        <f>H195+C195</f>
        <v>166</v>
      </c>
      <c r="J195" s="226"/>
      <c r="K195" s="227"/>
      <c r="L195" s="98">
        <v>117</v>
      </c>
      <c r="M195" s="50">
        <f>L195+C195</f>
        <v>177</v>
      </c>
      <c r="N195" s="226"/>
      <c r="O195" s="227"/>
      <c r="P195" s="98">
        <v>107</v>
      </c>
      <c r="Q195" s="50">
        <f>P195+C195</f>
        <v>167</v>
      </c>
      <c r="R195" s="226"/>
      <c r="S195" s="227"/>
      <c r="T195" s="98">
        <v>130</v>
      </c>
      <c r="U195" s="50">
        <f>T195+C195</f>
        <v>190</v>
      </c>
      <c r="V195" s="226"/>
      <c r="W195" s="227"/>
      <c r="X195" s="46">
        <f t="shared" si="6"/>
        <v>846</v>
      </c>
      <c r="Y195" s="106">
        <f>D195+H195+L195+P195+T195</f>
        <v>546</v>
      </c>
      <c r="Z195" s="67">
        <f>AVERAGE(E195,I195,M195,Q195,U195)</f>
        <v>169.2</v>
      </c>
      <c r="AA195" s="143">
        <f>AVERAGE(E195,I195,M195,Q195,U195)-C195</f>
        <v>109.19999999999999</v>
      </c>
      <c r="AB195" s="220"/>
    </row>
    <row r="196" spans="1:29" s="38" customFormat="1" ht="15.75" customHeight="1" thickBot="1">
      <c r="A196" s="229" t="s">
        <v>220</v>
      </c>
      <c r="B196" s="230"/>
      <c r="C196" s="151">
        <v>36</v>
      </c>
      <c r="D196" s="60">
        <v>139</v>
      </c>
      <c r="E196" s="50">
        <f>D196+C196</f>
        <v>175</v>
      </c>
      <c r="F196" s="204"/>
      <c r="G196" s="228"/>
      <c r="H196" s="99">
        <v>113</v>
      </c>
      <c r="I196" s="46">
        <f>H196+C196</f>
        <v>149</v>
      </c>
      <c r="J196" s="204"/>
      <c r="K196" s="228"/>
      <c r="L196" s="99">
        <v>131</v>
      </c>
      <c r="M196" s="50">
        <f>L196+C196</f>
        <v>167</v>
      </c>
      <c r="N196" s="204"/>
      <c r="O196" s="228"/>
      <c r="P196" s="99">
        <v>101</v>
      </c>
      <c r="Q196" s="50">
        <f>P196+C196</f>
        <v>137</v>
      </c>
      <c r="R196" s="204"/>
      <c r="S196" s="228"/>
      <c r="T196" s="99">
        <v>112</v>
      </c>
      <c r="U196" s="50">
        <f>T196+C196</f>
        <v>148</v>
      </c>
      <c r="V196" s="204"/>
      <c r="W196" s="228"/>
      <c r="X196" s="47">
        <f t="shared" si="6"/>
        <v>776</v>
      </c>
      <c r="Y196" s="107">
        <f>D196+H196+L196+P196+T196</f>
        <v>596</v>
      </c>
      <c r="Z196" s="68">
        <f>AVERAGE(E196,I196,M196,Q196,U196)</f>
        <v>155.2</v>
      </c>
      <c r="AA196" s="144">
        <f>AVERAGE(E196,I196,M196,Q196,U196)-C196</f>
        <v>119.19999999999999</v>
      </c>
      <c r="AB196" s="221"/>
      <c r="AC196" s="44"/>
    </row>
    <row r="197" spans="1:28" s="38" customFormat="1" ht="53.25" customHeight="1">
      <c r="A197" s="217" t="s">
        <v>316</v>
      </c>
      <c r="B197" s="218"/>
      <c r="C197" s="149">
        <f>SUM(C198:C200)</f>
        <v>180</v>
      </c>
      <c r="D197" s="62">
        <f>SUM(D198:D200)</f>
        <v>282</v>
      </c>
      <c r="E197" s="45">
        <f>SUM(E198:E200)</f>
        <v>462</v>
      </c>
      <c r="F197" s="45">
        <f>E185</f>
        <v>510</v>
      </c>
      <c r="G197" s="42" t="str">
        <f>A185</f>
        <v>Vest-Wood 3</v>
      </c>
      <c r="H197" s="62">
        <f>SUM(H198:H200)</f>
        <v>338</v>
      </c>
      <c r="I197" s="45">
        <f>SUM(I198:I200)</f>
        <v>518</v>
      </c>
      <c r="J197" s="45">
        <f>I181</f>
        <v>556</v>
      </c>
      <c r="K197" s="42" t="str">
        <f>A181</f>
        <v>Näpi Saeveski 2</v>
      </c>
      <c r="L197" s="133">
        <f>SUM(L198:L200)</f>
        <v>294</v>
      </c>
      <c r="M197" s="69">
        <f>SUM(M198:M200)</f>
        <v>474</v>
      </c>
      <c r="N197" s="45">
        <f>M201</f>
        <v>467</v>
      </c>
      <c r="O197" s="42" t="str">
        <f>A201</f>
        <v>Nordic Tsement</v>
      </c>
      <c r="P197" s="45">
        <f>SUM(P198:P200)</f>
        <v>391</v>
      </c>
      <c r="Q197" s="69">
        <f>SUM(Q198:Q200)</f>
        <v>571</v>
      </c>
      <c r="R197" s="45">
        <f>Q193</f>
        <v>455</v>
      </c>
      <c r="S197" s="42" t="str">
        <f>A193</f>
        <v>Assar Lukuauk</v>
      </c>
      <c r="T197" s="133">
        <f>SUM(T198:T200)</f>
        <v>345</v>
      </c>
      <c r="U197" s="69">
        <f>SUM(U198:U200)</f>
        <v>525</v>
      </c>
      <c r="V197" s="45">
        <f>U189</f>
        <v>500</v>
      </c>
      <c r="W197" s="42" t="str">
        <f>A189</f>
        <v>Eesti Energia</v>
      </c>
      <c r="X197" s="36">
        <f t="shared" si="6"/>
        <v>2550</v>
      </c>
      <c r="Y197" s="105">
        <f>SUM(Y198:Y200)</f>
        <v>1650</v>
      </c>
      <c r="Z197" s="65">
        <f>AVERAGE(Z198,Z199,Z200)</f>
        <v>170</v>
      </c>
      <c r="AA197" s="142">
        <f>AVERAGE(AA198,AA199,AA200)</f>
        <v>110</v>
      </c>
      <c r="AB197" s="219">
        <f>F198+J198+N198+R198+V198</f>
        <v>3</v>
      </c>
    </row>
    <row r="198" spans="1:28" s="38" customFormat="1" ht="15.75" customHeight="1">
      <c r="A198" s="222" t="s">
        <v>123</v>
      </c>
      <c r="B198" s="223"/>
      <c r="C198" s="150">
        <v>60</v>
      </c>
      <c r="D198" s="59">
        <v>93</v>
      </c>
      <c r="E198" s="50">
        <f>D198+C198</f>
        <v>153</v>
      </c>
      <c r="F198" s="224">
        <v>0</v>
      </c>
      <c r="G198" s="225"/>
      <c r="H198" s="97">
        <v>123</v>
      </c>
      <c r="I198" s="46">
        <f>H198+C198</f>
        <v>183</v>
      </c>
      <c r="J198" s="224">
        <v>0</v>
      </c>
      <c r="K198" s="225"/>
      <c r="L198" s="97">
        <v>132</v>
      </c>
      <c r="M198" s="50">
        <f>L198+C198</f>
        <v>192</v>
      </c>
      <c r="N198" s="224">
        <v>1</v>
      </c>
      <c r="O198" s="225"/>
      <c r="P198" s="97">
        <v>172</v>
      </c>
      <c r="Q198" s="50">
        <f>P198+C198</f>
        <v>232</v>
      </c>
      <c r="R198" s="224">
        <v>1</v>
      </c>
      <c r="S198" s="225"/>
      <c r="T198" s="97">
        <v>141</v>
      </c>
      <c r="U198" s="50">
        <f>T198+C198</f>
        <v>201</v>
      </c>
      <c r="V198" s="224">
        <v>1</v>
      </c>
      <c r="W198" s="225"/>
      <c r="X198" s="46">
        <f t="shared" si="6"/>
        <v>961</v>
      </c>
      <c r="Y198" s="106">
        <f>D198+H198+L198+P198+T198</f>
        <v>661</v>
      </c>
      <c r="Z198" s="67">
        <f>AVERAGE(E198,I198,M198,Q198,U198)</f>
        <v>192.2</v>
      </c>
      <c r="AA198" s="143">
        <f>AVERAGE(E198,I198,M198,Q198,U198)-C198</f>
        <v>132.2</v>
      </c>
      <c r="AB198" s="220"/>
    </row>
    <row r="199" spans="1:28" s="38" customFormat="1" ht="15.75" customHeight="1">
      <c r="A199" s="222" t="s">
        <v>315</v>
      </c>
      <c r="B199" s="223"/>
      <c r="C199" s="150">
        <v>60</v>
      </c>
      <c r="D199" s="59">
        <v>87</v>
      </c>
      <c r="E199" s="50">
        <f>D199+C199</f>
        <v>147</v>
      </c>
      <c r="F199" s="226"/>
      <c r="G199" s="227"/>
      <c r="H199" s="98">
        <v>80</v>
      </c>
      <c r="I199" s="46">
        <f>H199+C199</f>
        <v>140</v>
      </c>
      <c r="J199" s="226"/>
      <c r="K199" s="227"/>
      <c r="L199" s="98">
        <v>73</v>
      </c>
      <c r="M199" s="50">
        <f>L199+C199</f>
        <v>133</v>
      </c>
      <c r="N199" s="226"/>
      <c r="O199" s="227"/>
      <c r="P199" s="98">
        <v>100</v>
      </c>
      <c r="Q199" s="50">
        <f>P199+C199</f>
        <v>160</v>
      </c>
      <c r="R199" s="226"/>
      <c r="S199" s="227"/>
      <c r="T199" s="98">
        <v>116</v>
      </c>
      <c r="U199" s="50">
        <f>T199+C199</f>
        <v>176</v>
      </c>
      <c r="V199" s="226"/>
      <c r="W199" s="227"/>
      <c r="X199" s="46">
        <f t="shared" si="6"/>
        <v>756</v>
      </c>
      <c r="Y199" s="106">
        <f>D199+H199+L199+P199+T199</f>
        <v>456</v>
      </c>
      <c r="Z199" s="67">
        <f>AVERAGE(E199,I199,M199,Q199,U199)</f>
        <v>151.2</v>
      </c>
      <c r="AA199" s="143">
        <f>AVERAGE(E199,I199,M199,Q199,U199)-C199</f>
        <v>91.19999999999999</v>
      </c>
      <c r="AB199" s="220"/>
    </row>
    <row r="200" spans="1:28" s="38" customFormat="1" ht="15.75" customHeight="1" thickBot="1">
      <c r="A200" s="229" t="s">
        <v>272</v>
      </c>
      <c r="B200" s="230"/>
      <c r="C200" s="151">
        <v>60</v>
      </c>
      <c r="D200" s="60">
        <v>102</v>
      </c>
      <c r="E200" s="50">
        <f>D200+C200</f>
        <v>162</v>
      </c>
      <c r="F200" s="204"/>
      <c r="G200" s="228"/>
      <c r="H200" s="99">
        <v>135</v>
      </c>
      <c r="I200" s="46">
        <f>H200+C200</f>
        <v>195</v>
      </c>
      <c r="J200" s="204"/>
      <c r="K200" s="228"/>
      <c r="L200" s="99">
        <v>89</v>
      </c>
      <c r="M200" s="50">
        <f>L200+C200</f>
        <v>149</v>
      </c>
      <c r="N200" s="204"/>
      <c r="O200" s="228"/>
      <c r="P200" s="99">
        <v>119</v>
      </c>
      <c r="Q200" s="50">
        <f>P200+C200</f>
        <v>179</v>
      </c>
      <c r="R200" s="204"/>
      <c r="S200" s="228"/>
      <c r="T200" s="99">
        <v>88</v>
      </c>
      <c r="U200" s="50">
        <f>T200+C200</f>
        <v>148</v>
      </c>
      <c r="V200" s="204"/>
      <c r="W200" s="228"/>
      <c r="X200" s="47">
        <f t="shared" si="6"/>
        <v>833</v>
      </c>
      <c r="Y200" s="107">
        <f>D200+H200+L200+P200+T200</f>
        <v>533</v>
      </c>
      <c r="Z200" s="68">
        <f>AVERAGE(E200,I200,M200,Q200,U200)</f>
        <v>166.6</v>
      </c>
      <c r="AA200" s="144">
        <f>AVERAGE(E200,I200,M200,Q200,U200)-C200</f>
        <v>106.6</v>
      </c>
      <c r="AB200" s="221"/>
    </row>
    <row r="201" spans="1:28" s="38" customFormat="1" ht="42" customHeight="1">
      <c r="A201" s="217" t="s">
        <v>109</v>
      </c>
      <c r="B201" s="218"/>
      <c r="C201" s="149">
        <f>SUM(C202:C204)</f>
        <v>180</v>
      </c>
      <c r="D201" s="62">
        <f>SUM(D202:D204)</f>
        <v>263</v>
      </c>
      <c r="E201" s="45">
        <f>SUM(E202:E204)</f>
        <v>443</v>
      </c>
      <c r="F201" s="45">
        <f>E181</f>
        <v>474</v>
      </c>
      <c r="G201" s="42" t="str">
        <f>A181</f>
        <v>Näpi Saeveski 2</v>
      </c>
      <c r="H201" s="62">
        <f>SUM(H202:H204)</f>
        <v>320</v>
      </c>
      <c r="I201" s="45">
        <f>SUM(I202:I204)</f>
        <v>500</v>
      </c>
      <c r="J201" s="45">
        <f>I189</f>
        <v>500</v>
      </c>
      <c r="K201" s="42" t="str">
        <f>A189</f>
        <v>Eesti Energia</v>
      </c>
      <c r="L201" s="133">
        <f>SUM(L202:L204)</f>
        <v>287</v>
      </c>
      <c r="M201" s="49">
        <f>SUM(M202:M204)</f>
        <v>467</v>
      </c>
      <c r="N201" s="45">
        <f>M197</f>
        <v>474</v>
      </c>
      <c r="O201" s="42" t="str">
        <f>A197</f>
        <v>Tapa Linna-valitsus</v>
      </c>
      <c r="P201" s="45">
        <f>SUM(P202:P204)</f>
        <v>343</v>
      </c>
      <c r="Q201" s="49">
        <f>SUM(Q202:Q204)</f>
        <v>523</v>
      </c>
      <c r="R201" s="45">
        <f>Q185</f>
        <v>495</v>
      </c>
      <c r="S201" s="42" t="str">
        <f>A185</f>
        <v>Vest-Wood 3</v>
      </c>
      <c r="T201" s="133">
        <f>SUM(T202:T204)</f>
        <v>407</v>
      </c>
      <c r="U201" s="49">
        <f>SUM(U202:U204)</f>
        <v>587</v>
      </c>
      <c r="V201" s="45">
        <f>U193</f>
        <v>524</v>
      </c>
      <c r="W201" s="42" t="str">
        <f>A193</f>
        <v>Assar Lukuauk</v>
      </c>
      <c r="X201" s="36">
        <f t="shared" si="6"/>
        <v>2520</v>
      </c>
      <c r="Y201" s="105">
        <f>SUM(Y202:Y204)</f>
        <v>1620</v>
      </c>
      <c r="Z201" s="65">
        <f>AVERAGE(Z202,Z203,Z204)</f>
        <v>167.99999999999997</v>
      </c>
      <c r="AA201" s="142">
        <f>AVERAGE(AA202,AA203,AA204)</f>
        <v>108</v>
      </c>
      <c r="AB201" s="219">
        <f>F202+J202+N202+R202+V202</f>
        <v>2.5</v>
      </c>
    </row>
    <row r="202" spans="1:28" s="38" customFormat="1" ht="15.75" customHeight="1">
      <c r="A202" s="222" t="s">
        <v>121</v>
      </c>
      <c r="B202" s="223"/>
      <c r="C202" s="150">
        <v>60</v>
      </c>
      <c r="D202" s="59">
        <v>119</v>
      </c>
      <c r="E202" s="50">
        <f>D202+C202</f>
        <v>179</v>
      </c>
      <c r="F202" s="224">
        <v>0</v>
      </c>
      <c r="G202" s="225"/>
      <c r="H202" s="97">
        <v>133</v>
      </c>
      <c r="I202" s="46">
        <f>H202+C202</f>
        <v>193</v>
      </c>
      <c r="J202" s="224">
        <v>0.5</v>
      </c>
      <c r="K202" s="225"/>
      <c r="L202" s="97">
        <v>108</v>
      </c>
      <c r="M202" s="50">
        <f>L202+C202</f>
        <v>168</v>
      </c>
      <c r="N202" s="224">
        <v>0</v>
      </c>
      <c r="O202" s="225"/>
      <c r="P202" s="97">
        <v>115</v>
      </c>
      <c r="Q202" s="50">
        <f>P202+C202</f>
        <v>175</v>
      </c>
      <c r="R202" s="224">
        <v>1</v>
      </c>
      <c r="S202" s="225"/>
      <c r="T202" s="97">
        <v>186</v>
      </c>
      <c r="U202" s="50">
        <f>T202+C202</f>
        <v>246</v>
      </c>
      <c r="V202" s="224">
        <v>1</v>
      </c>
      <c r="W202" s="225"/>
      <c r="X202" s="46">
        <f t="shared" si="6"/>
        <v>961</v>
      </c>
      <c r="Y202" s="106">
        <f>D202+H202+L202+P202+T202</f>
        <v>661</v>
      </c>
      <c r="Z202" s="67">
        <f>AVERAGE(E202,I202,M202,Q202,U202)</f>
        <v>192.2</v>
      </c>
      <c r="AA202" s="143">
        <f>AVERAGE(E202,I202,M202,Q202,U202)-C202</f>
        <v>132.2</v>
      </c>
      <c r="AB202" s="220"/>
    </row>
    <row r="203" spans="1:28" s="38" customFormat="1" ht="15.75" customHeight="1">
      <c r="A203" s="222" t="s">
        <v>264</v>
      </c>
      <c r="B203" s="223"/>
      <c r="C203" s="150">
        <v>60</v>
      </c>
      <c r="D203" s="59">
        <v>65</v>
      </c>
      <c r="E203" s="50">
        <f>D203+C203</f>
        <v>125</v>
      </c>
      <c r="F203" s="226"/>
      <c r="G203" s="227"/>
      <c r="H203" s="98">
        <v>93</v>
      </c>
      <c r="I203" s="46">
        <f>H203+C203</f>
        <v>153</v>
      </c>
      <c r="J203" s="226"/>
      <c r="K203" s="227"/>
      <c r="L203" s="98">
        <v>90</v>
      </c>
      <c r="M203" s="50">
        <f>L203+C203</f>
        <v>150</v>
      </c>
      <c r="N203" s="226"/>
      <c r="O203" s="227"/>
      <c r="P203" s="98">
        <v>73</v>
      </c>
      <c r="Q203" s="50">
        <f>P203+C203</f>
        <v>133</v>
      </c>
      <c r="R203" s="226"/>
      <c r="S203" s="227"/>
      <c r="T203" s="98">
        <v>107</v>
      </c>
      <c r="U203" s="50">
        <f>T203+C203</f>
        <v>167</v>
      </c>
      <c r="V203" s="226"/>
      <c r="W203" s="227"/>
      <c r="X203" s="46">
        <f t="shared" si="6"/>
        <v>728</v>
      </c>
      <c r="Y203" s="106">
        <f>D203+H203+L203+P203+T203</f>
        <v>428</v>
      </c>
      <c r="Z203" s="67">
        <f>AVERAGE(E203,I203,M203,Q203,U203)</f>
        <v>145.6</v>
      </c>
      <c r="AA203" s="143">
        <f>AVERAGE(E203,I203,M203,Q203,U203)-C203</f>
        <v>85.6</v>
      </c>
      <c r="AB203" s="220"/>
    </row>
    <row r="204" spans="1:28" s="38" customFormat="1" ht="15.75" customHeight="1" thickBot="1">
      <c r="A204" s="229" t="s">
        <v>265</v>
      </c>
      <c r="B204" s="230"/>
      <c r="C204" s="151">
        <v>60</v>
      </c>
      <c r="D204" s="60">
        <v>79</v>
      </c>
      <c r="E204" s="50">
        <f>D204+C204</f>
        <v>139</v>
      </c>
      <c r="F204" s="204"/>
      <c r="G204" s="228"/>
      <c r="H204" s="99">
        <v>94</v>
      </c>
      <c r="I204" s="46">
        <f>H204+C204</f>
        <v>154</v>
      </c>
      <c r="J204" s="204"/>
      <c r="K204" s="228"/>
      <c r="L204" s="99">
        <v>89</v>
      </c>
      <c r="M204" s="50">
        <f>L204+C204</f>
        <v>149</v>
      </c>
      <c r="N204" s="204"/>
      <c r="O204" s="228"/>
      <c r="P204" s="99">
        <v>155</v>
      </c>
      <c r="Q204" s="50">
        <f>P204+C204</f>
        <v>215</v>
      </c>
      <c r="R204" s="204"/>
      <c r="S204" s="228"/>
      <c r="T204" s="99">
        <v>114</v>
      </c>
      <c r="U204" s="50">
        <f>T204+C204</f>
        <v>174</v>
      </c>
      <c r="V204" s="204"/>
      <c r="W204" s="228"/>
      <c r="X204" s="47">
        <f t="shared" si="6"/>
        <v>831</v>
      </c>
      <c r="Y204" s="107">
        <f>D204+H204+L204+P204+T204</f>
        <v>531</v>
      </c>
      <c r="Z204" s="68">
        <f>AVERAGE(E204,I204,M204,Q204,U204)</f>
        <v>166.2</v>
      </c>
      <c r="AA204" s="144">
        <f>AVERAGE(E204,I204,M204,Q204,U204)-C204</f>
        <v>106.19999999999999</v>
      </c>
      <c r="AB204" s="221"/>
    </row>
  </sheetData>
  <mergeCells count="511">
    <mergeCell ref="A55:B55"/>
    <mergeCell ref="AB55:AB58"/>
    <mergeCell ref="A56:B56"/>
    <mergeCell ref="F56:G58"/>
    <mergeCell ref="J56:K58"/>
    <mergeCell ref="N56:O58"/>
    <mergeCell ref="R56:S58"/>
    <mergeCell ref="V56:W58"/>
    <mergeCell ref="A57:B57"/>
    <mergeCell ref="A58:B58"/>
    <mergeCell ref="A51:B51"/>
    <mergeCell ref="AB51:AB54"/>
    <mergeCell ref="A52:B52"/>
    <mergeCell ref="F52:G54"/>
    <mergeCell ref="J52:K54"/>
    <mergeCell ref="N52:O54"/>
    <mergeCell ref="R52:S54"/>
    <mergeCell ref="V52:W54"/>
    <mergeCell ref="A53:B53"/>
    <mergeCell ref="A54:B54"/>
    <mergeCell ref="A47:B47"/>
    <mergeCell ref="AB47:AB50"/>
    <mergeCell ref="A48:B48"/>
    <mergeCell ref="F48:G50"/>
    <mergeCell ref="J48:K50"/>
    <mergeCell ref="N48:O50"/>
    <mergeCell ref="R48:S50"/>
    <mergeCell ref="V48:W50"/>
    <mergeCell ref="A49:B49"/>
    <mergeCell ref="A50:B50"/>
    <mergeCell ref="A43:B43"/>
    <mergeCell ref="AB43:AB46"/>
    <mergeCell ref="A44:B44"/>
    <mergeCell ref="F44:G46"/>
    <mergeCell ref="J44:K46"/>
    <mergeCell ref="N44:O46"/>
    <mergeCell ref="R44:S46"/>
    <mergeCell ref="V44:W46"/>
    <mergeCell ref="A45:B45"/>
    <mergeCell ref="A46:B46"/>
    <mergeCell ref="A39:B39"/>
    <mergeCell ref="AB39:AB42"/>
    <mergeCell ref="A40:B40"/>
    <mergeCell ref="F40:G42"/>
    <mergeCell ref="J40:K42"/>
    <mergeCell ref="N40:O42"/>
    <mergeCell ref="R40:S42"/>
    <mergeCell ref="V40:W42"/>
    <mergeCell ref="A41:B41"/>
    <mergeCell ref="A42:B42"/>
    <mergeCell ref="A35:B35"/>
    <mergeCell ref="AB35:AB38"/>
    <mergeCell ref="A36:B36"/>
    <mergeCell ref="F36:G38"/>
    <mergeCell ref="J36:K38"/>
    <mergeCell ref="N36:O38"/>
    <mergeCell ref="R36:S38"/>
    <mergeCell ref="V36:W38"/>
    <mergeCell ref="A37:B37"/>
    <mergeCell ref="A38:B38"/>
    <mergeCell ref="V33:W33"/>
    <mergeCell ref="A34:B34"/>
    <mergeCell ref="F34:G34"/>
    <mergeCell ref="J34:K34"/>
    <mergeCell ref="N34:O34"/>
    <mergeCell ref="R34:S34"/>
    <mergeCell ref="V34:W34"/>
    <mergeCell ref="A30:U32"/>
    <mergeCell ref="A33:B33"/>
    <mergeCell ref="F33:G33"/>
    <mergeCell ref="J33:K33"/>
    <mergeCell ref="N33:O33"/>
    <mergeCell ref="R33:S33"/>
    <mergeCell ref="A85:B85"/>
    <mergeCell ref="AB85:AB88"/>
    <mergeCell ref="A86:B86"/>
    <mergeCell ref="F86:G88"/>
    <mergeCell ref="J86:K88"/>
    <mergeCell ref="N86:O88"/>
    <mergeCell ref="R86:S88"/>
    <mergeCell ref="V86:W88"/>
    <mergeCell ref="A87:B87"/>
    <mergeCell ref="A88:B88"/>
    <mergeCell ref="A81:B81"/>
    <mergeCell ref="AB81:AB84"/>
    <mergeCell ref="A82:B82"/>
    <mergeCell ref="F82:G84"/>
    <mergeCell ref="J82:K84"/>
    <mergeCell ref="N82:O84"/>
    <mergeCell ref="R82:S84"/>
    <mergeCell ref="V82:W84"/>
    <mergeCell ref="A83:B83"/>
    <mergeCell ref="A84:B84"/>
    <mergeCell ref="A77:B77"/>
    <mergeCell ref="AB77:AB80"/>
    <mergeCell ref="A78:B78"/>
    <mergeCell ref="F78:G80"/>
    <mergeCell ref="J78:K80"/>
    <mergeCell ref="N78:O80"/>
    <mergeCell ref="R78:S80"/>
    <mergeCell ref="V78:W80"/>
    <mergeCell ref="A79:B79"/>
    <mergeCell ref="A80:B80"/>
    <mergeCell ref="A73:B73"/>
    <mergeCell ref="AB73:AB76"/>
    <mergeCell ref="A74:B74"/>
    <mergeCell ref="F74:G76"/>
    <mergeCell ref="J74:K76"/>
    <mergeCell ref="N74:O76"/>
    <mergeCell ref="R74:S76"/>
    <mergeCell ref="V74:W76"/>
    <mergeCell ref="A75:B75"/>
    <mergeCell ref="A76:B76"/>
    <mergeCell ref="A69:B69"/>
    <mergeCell ref="AB69:AB72"/>
    <mergeCell ref="A70:B70"/>
    <mergeCell ref="F70:G72"/>
    <mergeCell ref="J70:K72"/>
    <mergeCell ref="N70:O72"/>
    <mergeCell ref="R70:S72"/>
    <mergeCell ref="V70:W72"/>
    <mergeCell ref="A71:B71"/>
    <mergeCell ref="A72:B72"/>
    <mergeCell ref="A65:B65"/>
    <mergeCell ref="AB65:AB68"/>
    <mergeCell ref="A66:B66"/>
    <mergeCell ref="F66:G68"/>
    <mergeCell ref="J66:K68"/>
    <mergeCell ref="N66:O68"/>
    <mergeCell ref="R66:S68"/>
    <mergeCell ref="V66:W68"/>
    <mergeCell ref="A67:B67"/>
    <mergeCell ref="A68:B68"/>
    <mergeCell ref="V63:W63"/>
    <mergeCell ref="A64:B64"/>
    <mergeCell ref="F64:G64"/>
    <mergeCell ref="J64:K64"/>
    <mergeCell ref="N64:O64"/>
    <mergeCell ref="R64:S64"/>
    <mergeCell ref="V64:W64"/>
    <mergeCell ref="A60:U62"/>
    <mergeCell ref="A63:B63"/>
    <mergeCell ref="F63:G63"/>
    <mergeCell ref="J63:K63"/>
    <mergeCell ref="N63:O63"/>
    <mergeCell ref="R63:S63"/>
    <mergeCell ref="A200:B200"/>
    <mergeCell ref="A202:B202"/>
    <mergeCell ref="A203:B203"/>
    <mergeCell ref="A196:B196"/>
    <mergeCell ref="A198:B198"/>
    <mergeCell ref="A199:B199"/>
    <mergeCell ref="A201:B201"/>
    <mergeCell ref="A192:B192"/>
    <mergeCell ref="A194:B194"/>
    <mergeCell ref="A195:B195"/>
    <mergeCell ref="A188:B188"/>
    <mergeCell ref="A190:B190"/>
    <mergeCell ref="A191:B191"/>
    <mergeCell ref="A193:B193"/>
    <mergeCell ref="A189:B189"/>
    <mergeCell ref="A186:B186"/>
    <mergeCell ref="A187:B187"/>
    <mergeCell ref="A182:B182"/>
    <mergeCell ref="A183:B183"/>
    <mergeCell ref="A185:B185"/>
    <mergeCell ref="J202:K204"/>
    <mergeCell ref="N202:O204"/>
    <mergeCell ref="R202:S204"/>
    <mergeCell ref="V202:W204"/>
    <mergeCell ref="A204:B204"/>
    <mergeCell ref="A197:B197"/>
    <mergeCell ref="AB197:AB200"/>
    <mergeCell ref="F198:G200"/>
    <mergeCell ref="J198:K200"/>
    <mergeCell ref="N198:O200"/>
    <mergeCell ref="R198:S200"/>
    <mergeCell ref="V198:W200"/>
    <mergeCell ref="AB201:AB204"/>
    <mergeCell ref="F202:G204"/>
    <mergeCell ref="AB193:AB196"/>
    <mergeCell ref="F194:G196"/>
    <mergeCell ref="J194:K196"/>
    <mergeCell ref="N194:O196"/>
    <mergeCell ref="R194:S196"/>
    <mergeCell ref="V194:W196"/>
    <mergeCell ref="AB189:AB192"/>
    <mergeCell ref="F190:G192"/>
    <mergeCell ref="J190:K192"/>
    <mergeCell ref="N190:O192"/>
    <mergeCell ref="R190:S192"/>
    <mergeCell ref="V190:W192"/>
    <mergeCell ref="AB185:AB188"/>
    <mergeCell ref="F186:G188"/>
    <mergeCell ref="J186:K188"/>
    <mergeCell ref="N186:O188"/>
    <mergeCell ref="R186:S188"/>
    <mergeCell ref="V186:W188"/>
    <mergeCell ref="A181:B181"/>
    <mergeCell ref="AB181:AB184"/>
    <mergeCell ref="F182:G184"/>
    <mergeCell ref="J182:K184"/>
    <mergeCell ref="N182:O184"/>
    <mergeCell ref="R182:S184"/>
    <mergeCell ref="V182:W184"/>
    <mergeCell ref="A184:B184"/>
    <mergeCell ref="V179:W179"/>
    <mergeCell ref="A180:B180"/>
    <mergeCell ref="F180:G180"/>
    <mergeCell ref="J180:K180"/>
    <mergeCell ref="N180:O180"/>
    <mergeCell ref="R180:S180"/>
    <mergeCell ref="V180:W180"/>
    <mergeCell ref="A176:U178"/>
    <mergeCell ref="A179:B179"/>
    <mergeCell ref="F179:G179"/>
    <mergeCell ref="J179:K179"/>
    <mergeCell ref="N179:O179"/>
    <mergeCell ref="R179:S179"/>
    <mergeCell ref="A147:U149"/>
    <mergeCell ref="A150:B150"/>
    <mergeCell ref="F150:G150"/>
    <mergeCell ref="J150:K150"/>
    <mergeCell ref="N150:O150"/>
    <mergeCell ref="R150:S150"/>
    <mergeCell ref="V150:W150"/>
    <mergeCell ref="A151:B151"/>
    <mergeCell ref="F151:G151"/>
    <mergeCell ref="J151:K151"/>
    <mergeCell ref="N151:O151"/>
    <mergeCell ref="R151:S151"/>
    <mergeCell ref="V151:W151"/>
    <mergeCell ref="A152:B152"/>
    <mergeCell ref="AB152:AB155"/>
    <mergeCell ref="A153:B153"/>
    <mergeCell ref="F153:G155"/>
    <mergeCell ref="J153:K155"/>
    <mergeCell ref="N153:O155"/>
    <mergeCell ref="R153:S155"/>
    <mergeCell ref="V153:W155"/>
    <mergeCell ref="A154:B154"/>
    <mergeCell ref="A155:B155"/>
    <mergeCell ref="A156:B156"/>
    <mergeCell ref="AB156:AB159"/>
    <mergeCell ref="A157:B157"/>
    <mergeCell ref="F157:G159"/>
    <mergeCell ref="J157:K159"/>
    <mergeCell ref="N157:O159"/>
    <mergeCell ref="R157:S159"/>
    <mergeCell ref="V157:W159"/>
    <mergeCell ref="A158:B158"/>
    <mergeCell ref="A159:B159"/>
    <mergeCell ref="A160:B160"/>
    <mergeCell ref="AB160:AB163"/>
    <mergeCell ref="A161:B161"/>
    <mergeCell ref="F161:G163"/>
    <mergeCell ref="J161:K163"/>
    <mergeCell ref="N161:O163"/>
    <mergeCell ref="R161:S163"/>
    <mergeCell ref="V161:W163"/>
    <mergeCell ref="A162:B162"/>
    <mergeCell ref="A163:B163"/>
    <mergeCell ref="A164:B164"/>
    <mergeCell ref="AB164:AB167"/>
    <mergeCell ref="A165:B165"/>
    <mergeCell ref="F165:G167"/>
    <mergeCell ref="J165:K167"/>
    <mergeCell ref="N165:O167"/>
    <mergeCell ref="R165:S167"/>
    <mergeCell ref="V165:W167"/>
    <mergeCell ref="A166:B166"/>
    <mergeCell ref="A167:B167"/>
    <mergeCell ref="A168:B168"/>
    <mergeCell ref="AB168:AB171"/>
    <mergeCell ref="A169:B169"/>
    <mergeCell ref="F169:G171"/>
    <mergeCell ref="J169:K171"/>
    <mergeCell ref="N169:O171"/>
    <mergeCell ref="R169:S171"/>
    <mergeCell ref="V169:W171"/>
    <mergeCell ref="A170:B170"/>
    <mergeCell ref="A171:B171"/>
    <mergeCell ref="A172:B172"/>
    <mergeCell ref="AB172:AB175"/>
    <mergeCell ref="A173:B173"/>
    <mergeCell ref="F173:G175"/>
    <mergeCell ref="J173:K175"/>
    <mergeCell ref="N173:O175"/>
    <mergeCell ref="R173:S175"/>
    <mergeCell ref="V173:W175"/>
    <mergeCell ref="A174:B174"/>
    <mergeCell ref="A175:B175"/>
    <mergeCell ref="A118:U120"/>
    <mergeCell ref="A121:B121"/>
    <mergeCell ref="F121:G121"/>
    <mergeCell ref="J121:K121"/>
    <mergeCell ref="N121:O121"/>
    <mergeCell ref="R121:S121"/>
    <mergeCell ref="V121:W121"/>
    <mergeCell ref="A122:B122"/>
    <mergeCell ref="F122:G122"/>
    <mergeCell ref="J122:K122"/>
    <mergeCell ref="N122:O122"/>
    <mergeCell ref="R122:S122"/>
    <mergeCell ref="V122:W122"/>
    <mergeCell ref="A123:B123"/>
    <mergeCell ref="AB123:AB126"/>
    <mergeCell ref="A124:B124"/>
    <mergeCell ref="F124:G126"/>
    <mergeCell ref="J124:K126"/>
    <mergeCell ref="N124:O126"/>
    <mergeCell ref="R124:S126"/>
    <mergeCell ref="V124:W126"/>
    <mergeCell ref="A125:B125"/>
    <mergeCell ref="A126:B126"/>
    <mergeCell ref="A127:B127"/>
    <mergeCell ref="AB127:AB130"/>
    <mergeCell ref="A128:B128"/>
    <mergeCell ref="F128:G130"/>
    <mergeCell ref="J128:K130"/>
    <mergeCell ref="N128:O130"/>
    <mergeCell ref="R128:S130"/>
    <mergeCell ref="V128:W130"/>
    <mergeCell ref="A129:B129"/>
    <mergeCell ref="A130:B130"/>
    <mergeCell ref="A131:B131"/>
    <mergeCell ref="AB131:AB134"/>
    <mergeCell ref="A132:B132"/>
    <mergeCell ref="F132:G134"/>
    <mergeCell ref="J132:K134"/>
    <mergeCell ref="N132:O134"/>
    <mergeCell ref="R132:S134"/>
    <mergeCell ref="V132:W134"/>
    <mergeCell ref="A133:B133"/>
    <mergeCell ref="A134:B134"/>
    <mergeCell ref="A135:B135"/>
    <mergeCell ref="AB135:AB138"/>
    <mergeCell ref="A136:B136"/>
    <mergeCell ref="F136:G138"/>
    <mergeCell ref="J136:K138"/>
    <mergeCell ref="N136:O138"/>
    <mergeCell ref="R136:S138"/>
    <mergeCell ref="V136:W138"/>
    <mergeCell ref="A137:B137"/>
    <mergeCell ref="A138:B138"/>
    <mergeCell ref="A139:B139"/>
    <mergeCell ref="AB139:AB142"/>
    <mergeCell ref="A140:B140"/>
    <mergeCell ref="F140:G142"/>
    <mergeCell ref="J140:K142"/>
    <mergeCell ref="N140:O142"/>
    <mergeCell ref="R140:S142"/>
    <mergeCell ref="V140:W142"/>
    <mergeCell ref="A141:B141"/>
    <mergeCell ref="A142:B142"/>
    <mergeCell ref="A143:B143"/>
    <mergeCell ref="AB143:AB146"/>
    <mergeCell ref="A144:B144"/>
    <mergeCell ref="F144:G146"/>
    <mergeCell ref="J144:K146"/>
    <mergeCell ref="N144:O146"/>
    <mergeCell ref="R144:S146"/>
    <mergeCell ref="V144:W146"/>
    <mergeCell ref="A145:B145"/>
    <mergeCell ref="A146:B146"/>
    <mergeCell ref="A89:U91"/>
    <mergeCell ref="A92:B92"/>
    <mergeCell ref="F92:G92"/>
    <mergeCell ref="J92:K92"/>
    <mergeCell ref="N92:O92"/>
    <mergeCell ref="R92:S92"/>
    <mergeCell ref="V92:W92"/>
    <mergeCell ref="A93:B93"/>
    <mergeCell ref="F93:G93"/>
    <mergeCell ref="J93:K93"/>
    <mergeCell ref="N93:O93"/>
    <mergeCell ref="R93:S93"/>
    <mergeCell ref="V93:W93"/>
    <mergeCell ref="A94:B94"/>
    <mergeCell ref="AB94:AB97"/>
    <mergeCell ref="A95:B95"/>
    <mergeCell ref="F95:G97"/>
    <mergeCell ref="J95:K97"/>
    <mergeCell ref="N95:O97"/>
    <mergeCell ref="R95:S97"/>
    <mergeCell ref="V95:W97"/>
    <mergeCell ref="A96:B96"/>
    <mergeCell ref="A97:B97"/>
    <mergeCell ref="A98:B98"/>
    <mergeCell ref="AB98:AB101"/>
    <mergeCell ref="A99:B99"/>
    <mergeCell ref="F99:G101"/>
    <mergeCell ref="J99:K101"/>
    <mergeCell ref="N99:O101"/>
    <mergeCell ref="R99:S101"/>
    <mergeCell ref="V99:W101"/>
    <mergeCell ref="A100:B100"/>
    <mergeCell ref="A101:B101"/>
    <mergeCell ref="A102:B102"/>
    <mergeCell ref="AB102:AB105"/>
    <mergeCell ref="A103:B103"/>
    <mergeCell ref="F103:G105"/>
    <mergeCell ref="J103:K105"/>
    <mergeCell ref="N103:O105"/>
    <mergeCell ref="R103:S105"/>
    <mergeCell ref="V103:W105"/>
    <mergeCell ref="A104:B104"/>
    <mergeCell ref="A105:B105"/>
    <mergeCell ref="A106:B106"/>
    <mergeCell ref="AB106:AB109"/>
    <mergeCell ref="A107:B107"/>
    <mergeCell ref="F107:G109"/>
    <mergeCell ref="J107:K109"/>
    <mergeCell ref="N107:O109"/>
    <mergeCell ref="R107:S109"/>
    <mergeCell ref="V107:W109"/>
    <mergeCell ref="A108:B108"/>
    <mergeCell ref="A109:B109"/>
    <mergeCell ref="A110:B110"/>
    <mergeCell ref="AB110:AB113"/>
    <mergeCell ref="A111:B111"/>
    <mergeCell ref="F111:G113"/>
    <mergeCell ref="J111:K113"/>
    <mergeCell ref="N111:O113"/>
    <mergeCell ref="R111:S113"/>
    <mergeCell ref="V111:W113"/>
    <mergeCell ref="A112:B112"/>
    <mergeCell ref="A113:B113"/>
    <mergeCell ref="A114:B114"/>
    <mergeCell ref="AB114:AB117"/>
    <mergeCell ref="A115:B115"/>
    <mergeCell ref="F115:G117"/>
    <mergeCell ref="J115:K117"/>
    <mergeCell ref="N115:O117"/>
    <mergeCell ref="R115:S117"/>
    <mergeCell ref="V115:W117"/>
    <mergeCell ref="A116:B116"/>
    <mergeCell ref="A117:B117"/>
    <mergeCell ref="A1:U3"/>
    <mergeCell ref="A4:B4"/>
    <mergeCell ref="F4:G4"/>
    <mergeCell ref="J4:K4"/>
    <mergeCell ref="N4:O4"/>
    <mergeCell ref="R4:S4"/>
    <mergeCell ref="V4:W4"/>
    <mergeCell ref="A5:B5"/>
    <mergeCell ref="F5:G5"/>
    <mergeCell ref="J5:K5"/>
    <mergeCell ref="N5:O5"/>
    <mergeCell ref="R5:S5"/>
    <mergeCell ref="V5:W5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</mergeCells>
  <conditionalFormatting sqref="J198 T198:U200 F198 P198:Q200 C182:Z184 X194:X200 J185 Y198:Z200 V198 C186:Z188 R198 N198 L198:M200 Y194:Z196 H198:I200 C198:E200 C194:W196 C190:Z192 C202:Z204 J169 C165:W167 F169 C161:Z163 C169:E171 X165:X171 J156 Y169:Z171 V169 H169:I171 R169 N169 C157:Z159 Y165:Z167 C153:Z155 T169:U171 P169:Q171 L169:M171 C173:Z175 J140 P140:Q142 F140 L140:M142 T140:U142 X136:X142 J127 Y140:Z142 V140 C124:Z126 R140 N140 H140:I142 Y136:Z138 C140:E142 C136:W138 C132:Z134 C128:Z130 C144:Z146 J111 C103:Z105 F111 C99:Z101 C107:W109 X107:X113 J98 Y111:Z113 V111 C111:E113 R111 N111 C95:Z97 Y107:Z109 T111:U113 P111:Q113 L111:M113 H111:I113 C115:Z117 J82 H82:I84 L82:M84 T82:U84 X78:X84 J69 Y82:Z84 V82 E82:F82 R82 N82 P82:Q84 Y78:Z80 C78:W80 C74:Z76 C70:Z72 C66:Z68 C82:D84 E83:E84 C86:Z88 J52 C36:Z38 T52:U54 C48:W50 X48:X54 J39 Y52:Z54 V52 C40:Z42 R52 N52 C44:Z46 Y48:Z50 P52:Q54 L52:M54 H52:I54 C52:E54 F52 C56:Z58 J23 C23:E25 C19:W21 P23:Q25 X19:X25 J10 Y23:Z25 V23 H23:I25 R23 N23 L23:M25 Y19:Z21 C15:Z17 C11:Z13 C7:Z9 T23:U25 F23 C27:Z29">
    <cfRule type="cellIs" priority="1" dxfId="6" operator="between" stopIfTrue="1">
      <formula>200</formula>
      <formula>300</formula>
    </cfRule>
  </conditionalFormatting>
  <printOptions/>
  <pageMargins left="0.38" right="0.46" top="1" bottom="1" header="0.5" footer="0.5"/>
  <pageSetup fitToHeight="1" fitToWidth="1" horizontalDpi="300" verticalDpi="3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zoomScale="70" zoomScaleNormal="70" workbookViewId="0" topLeftCell="A1">
      <selection activeCell="AA1" sqref="AA1"/>
    </sheetView>
  </sheetViews>
  <sheetFormatPr defaultColWidth="9.140625" defaultRowHeight="12.75"/>
  <cols>
    <col min="1" max="1" width="9.140625" style="39" customWidth="1"/>
    <col min="2" max="2" width="10.421875" style="39" customWidth="1"/>
    <col min="3" max="3" width="5.28125" style="161" customWidth="1"/>
    <col min="4" max="4" width="5.28125" style="61" hidden="1" customWidth="1"/>
    <col min="5" max="5" width="8.28125" style="22" bestFit="1" customWidth="1"/>
    <col min="6" max="6" width="7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7.140625" style="22" customWidth="1"/>
    <col min="11" max="11" width="8.57421875" style="22" customWidth="1"/>
    <col min="12" max="12" width="5.28125" style="83" hidden="1" customWidth="1"/>
    <col min="13" max="13" width="8.28125" style="22" bestFit="1" customWidth="1"/>
    <col min="14" max="14" width="7.421875" style="22" customWidth="1"/>
    <col min="15" max="15" width="8.7109375" style="22" customWidth="1"/>
    <col min="16" max="16" width="5.28125" style="83" hidden="1" customWidth="1"/>
    <col min="17" max="17" width="8.28125" style="22" bestFit="1" customWidth="1"/>
    <col min="18" max="18" width="7.8515625" style="22" customWidth="1"/>
    <col min="19" max="19" width="9.00390625" style="22" customWidth="1"/>
    <col min="20" max="20" width="5.28125" style="83" hidden="1" customWidth="1"/>
    <col min="21" max="21" width="8.28125" style="22" bestFit="1" customWidth="1"/>
    <col min="22" max="22" width="7.421875" style="22" customWidth="1"/>
    <col min="23" max="23" width="8.7109375" style="22" customWidth="1"/>
    <col min="24" max="24" width="10.00390625" style="22" customWidth="1"/>
    <col min="25" max="25" width="5.8515625" style="83" hidden="1" customWidth="1"/>
    <col min="26" max="26" width="11.28125" style="22" customWidth="1"/>
    <col min="27" max="27" width="9.421875" style="138" customWidth="1"/>
    <col min="28" max="28" width="10.8515625" style="22" bestFit="1" customWidth="1"/>
    <col min="29" max="16384" width="9.140625" style="22" customWidth="1"/>
  </cols>
  <sheetData>
    <row r="1" spans="1:28" s="40" customFormat="1" ht="4.5" customHeight="1">
      <c r="A1" s="207" t="s">
        <v>312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4"/>
      <c r="W1" s="25"/>
      <c r="Y1" s="57"/>
      <c r="Z1" s="41"/>
      <c r="AA1" s="139"/>
      <c r="AB1" s="25"/>
    </row>
    <row r="2" spans="1:28" s="40" customFormat="1" ht="17.2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4"/>
      <c r="W2" s="25"/>
      <c r="Y2" s="57"/>
      <c r="Z2" s="41"/>
      <c r="AA2" s="139"/>
      <c r="AB2" s="25"/>
    </row>
    <row r="3" spans="1:28" s="40" customFormat="1" ht="23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5"/>
      <c r="W3" s="25"/>
      <c r="Y3" s="57"/>
      <c r="Z3" s="41"/>
      <c r="AA3" s="139"/>
      <c r="AB3" s="25"/>
    </row>
    <row r="4" spans="1:28" s="31" customFormat="1" ht="15.75" customHeight="1">
      <c r="A4" s="209" t="s">
        <v>0</v>
      </c>
      <c r="B4" s="210"/>
      <c r="C4" s="156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140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57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141" t="s">
        <v>43</v>
      </c>
      <c r="AB5" s="35" t="s">
        <v>12</v>
      </c>
    </row>
    <row r="6" spans="1:28" s="38" customFormat="1" ht="42" customHeight="1">
      <c r="A6" s="217" t="s">
        <v>69</v>
      </c>
      <c r="B6" s="218"/>
      <c r="C6" s="158">
        <f>SUM(C7:C9)</f>
        <v>33</v>
      </c>
      <c r="D6" s="62">
        <f>SUM(D7:D9)</f>
        <v>444</v>
      </c>
      <c r="E6" s="63">
        <f>SUM(E7:E9)</f>
        <v>477</v>
      </c>
      <c r="F6" s="46">
        <f>E26</f>
        <v>498</v>
      </c>
      <c r="G6" s="64" t="str">
        <f>A26</f>
        <v>VERX</v>
      </c>
      <c r="H6" s="62">
        <f>SUM(H7:H9)</f>
        <v>542</v>
      </c>
      <c r="I6" s="49">
        <f>SUM(I7:I9)</f>
        <v>575</v>
      </c>
      <c r="J6" s="49">
        <f>I22</f>
        <v>605</v>
      </c>
      <c r="K6" s="42" t="str">
        <f>A22</f>
        <v>Meistrid&amp; Margarita</v>
      </c>
      <c r="L6" s="58">
        <f>SUM(L7:L9)</f>
        <v>615</v>
      </c>
      <c r="M6" s="45">
        <f>SUM(M7:M9)</f>
        <v>648</v>
      </c>
      <c r="N6" s="45">
        <f>M18</f>
        <v>499</v>
      </c>
      <c r="O6" s="42" t="str">
        <f>A18</f>
        <v>T.E.M.</v>
      </c>
      <c r="P6" s="45">
        <f>SUM(P7:P9)</f>
        <v>485</v>
      </c>
      <c r="Q6" s="45">
        <f>SUM(Q7:Q9)</f>
        <v>518</v>
      </c>
      <c r="R6" s="45">
        <f>Q14</f>
        <v>522</v>
      </c>
      <c r="S6" s="42" t="str">
        <f>A14</f>
        <v>Telfer Grupp</v>
      </c>
      <c r="T6" s="133">
        <f>SUM(T7:T9)</f>
        <v>451</v>
      </c>
      <c r="U6" s="45">
        <f>SUM(U7:U9)</f>
        <v>484</v>
      </c>
      <c r="V6" s="45">
        <f>U10</f>
        <v>574</v>
      </c>
      <c r="W6" s="42" t="str">
        <f>A10</f>
        <v>Fulltrade</v>
      </c>
      <c r="X6" s="36">
        <f aca="true" t="shared" si="0" ref="X6:X29">E6+I6+M6+Q6+U6</f>
        <v>2702</v>
      </c>
      <c r="Y6" s="105">
        <f>SUM(Y7:Y9)</f>
        <v>2537</v>
      </c>
      <c r="Z6" s="37">
        <f>AVERAGE(Z7,Z8,Z9)</f>
        <v>180.13333333333333</v>
      </c>
      <c r="AA6" s="142">
        <f>AVERAGE(AA7,AA8,AA9)</f>
        <v>169.13333333333333</v>
      </c>
      <c r="AB6" s="219">
        <f>F7+J7+N7+R7+V7</f>
        <v>1</v>
      </c>
    </row>
    <row r="7" spans="1:28" s="38" customFormat="1" ht="15.75" customHeight="1">
      <c r="A7" s="222" t="s">
        <v>27</v>
      </c>
      <c r="B7" s="223"/>
      <c r="C7" s="159">
        <v>14</v>
      </c>
      <c r="D7" s="59">
        <v>122</v>
      </c>
      <c r="E7" s="50">
        <f>C7+D7</f>
        <v>136</v>
      </c>
      <c r="F7" s="224">
        <v>0</v>
      </c>
      <c r="G7" s="225"/>
      <c r="H7" s="97">
        <v>193</v>
      </c>
      <c r="I7" s="46">
        <f>H7+C7</f>
        <v>207</v>
      </c>
      <c r="J7" s="224">
        <v>0</v>
      </c>
      <c r="K7" s="225"/>
      <c r="L7" s="97">
        <v>170</v>
      </c>
      <c r="M7" s="50">
        <f>L7+C7</f>
        <v>184</v>
      </c>
      <c r="N7" s="224">
        <v>1</v>
      </c>
      <c r="O7" s="225"/>
      <c r="P7" s="97">
        <v>164</v>
      </c>
      <c r="Q7" s="50">
        <f>P7+C7</f>
        <v>178</v>
      </c>
      <c r="R7" s="224">
        <v>0</v>
      </c>
      <c r="S7" s="225"/>
      <c r="T7" s="97">
        <v>154</v>
      </c>
      <c r="U7" s="50">
        <f>T7+C7</f>
        <v>168</v>
      </c>
      <c r="V7" s="224">
        <v>0</v>
      </c>
      <c r="W7" s="225"/>
      <c r="X7" s="46">
        <f t="shared" si="0"/>
        <v>873</v>
      </c>
      <c r="Y7" s="106">
        <f>D7+H7+L7+P7+T7</f>
        <v>803</v>
      </c>
      <c r="Z7" s="67">
        <f>AVERAGE(E7,I7,M7,Q7,U7)</f>
        <v>174.6</v>
      </c>
      <c r="AA7" s="143">
        <f>AVERAGE(E7,I7,M7,Q7,U7)-C7</f>
        <v>160.6</v>
      </c>
      <c r="AB7" s="220"/>
    </row>
    <row r="8" spans="1:28" s="38" customFormat="1" ht="15.75" customHeight="1">
      <c r="A8" s="222" t="s">
        <v>29</v>
      </c>
      <c r="B8" s="223"/>
      <c r="C8" s="159">
        <v>19</v>
      </c>
      <c r="D8" s="59">
        <v>172</v>
      </c>
      <c r="E8" s="50">
        <f>C8+D8</f>
        <v>191</v>
      </c>
      <c r="F8" s="226"/>
      <c r="G8" s="227"/>
      <c r="H8" s="98">
        <v>147</v>
      </c>
      <c r="I8" s="46">
        <f>H8+C8</f>
        <v>166</v>
      </c>
      <c r="J8" s="226"/>
      <c r="K8" s="227"/>
      <c r="L8" s="98">
        <v>235</v>
      </c>
      <c r="M8" s="50">
        <f>L8+C8</f>
        <v>254</v>
      </c>
      <c r="N8" s="226"/>
      <c r="O8" s="227"/>
      <c r="P8" s="98">
        <v>148</v>
      </c>
      <c r="Q8" s="50">
        <f>P8+C8</f>
        <v>167</v>
      </c>
      <c r="R8" s="226"/>
      <c r="S8" s="227"/>
      <c r="T8" s="98">
        <v>149</v>
      </c>
      <c r="U8" s="50">
        <f>T8+C8</f>
        <v>168</v>
      </c>
      <c r="V8" s="226"/>
      <c r="W8" s="227"/>
      <c r="X8" s="46">
        <f t="shared" si="0"/>
        <v>946</v>
      </c>
      <c r="Y8" s="106">
        <f>D8+H8+L8+P8+T8</f>
        <v>851</v>
      </c>
      <c r="Z8" s="67">
        <f>AVERAGE(E8,I8,M8,Q8,U8)</f>
        <v>189.2</v>
      </c>
      <c r="AA8" s="143">
        <f>AVERAGE(E8,I8,M8,Q8,U8)-C8</f>
        <v>170.2</v>
      </c>
      <c r="AB8" s="220"/>
    </row>
    <row r="9" spans="1:28" s="38" customFormat="1" ht="16.5" customHeight="1" thickBot="1">
      <c r="A9" s="229" t="s">
        <v>26</v>
      </c>
      <c r="B9" s="230"/>
      <c r="C9" s="160">
        <v>0</v>
      </c>
      <c r="D9" s="60">
        <v>150</v>
      </c>
      <c r="E9" s="50">
        <f>C9+D9</f>
        <v>150</v>
      </c>
      <c r="F9" s="204"/>
      <c r="G9" s="228"/>
      <c r="H9" s="99">
        <v>202</v>
      </c>
      <c r="I9" s="46">
        <f>H9+C9</f>
        <v>202</v>
      </c>
      <c r="J9" s="204"/>
      <c r="K9" s="228"/>
      <c r="L9" s="99">
        <v>210</v>
      </c>
      <c r="M9" s="50">
        <f>L9+C9</f>
        <v>210</v>
      </c>
      <c r="N9" s="204"/>
      <c r="O9" s="228"/>
      <c r="P9" s="99">
        <v>173</v>
      </c>
      <c r="Q9" s="50">
        <f>P9+C9</f>
        <v>173</v>
      </c>
      <c r="R9" s="204"/>
      <c r="S9" s="228"/>
      <c r="T9" s="99">
        <v>148</v>
      </c>
      <c r="U9" s="50">
        <f>T9+C9</f>
        <v>148</v>
      </c>
      <c r="V9" s="204"/>
      <c r="W9" s="228"/>
      <c r="X9" s="47">
        <f t="shared" si="0"/>
        <v>883</v>
      </c>
      <c r="Y9" s="107">
        <f>D9+H9+L9+P9+T9</f>
        <v>883</v>
      </c>
      <c r="Z9" s="68">
        <f>AVERAGE(E9,I9,M9,Q9,U9)</f>
        <v>176.6</v>
      </c>
      <c r="AA9" s="144">
        <f>AVERAGE(E9,I9,M9,Q9,U9)-C9</f>
        <v>176.6</v>
      </c>
      <c r="AB9" s="221"/>
    </row>
    <row r="10" spans="1:28" s="38" customFormat="1" ht="41.25" customHeight="1">
      <c r="A10" s="217" t="s">
        <v>66</v>
      </c>
      <c r="B10" s="218"/>
      <c r="C10" s="158">
        <f>SUM(C11:C13)</f>
        <v>117</v>
      </c>
      <c r="D10" s="62">
        <f>SUM(D11:D13)</f>
        <v>489</v>
      </c>
      <c r="E10" s="45">
        <f>SUM(E11:E13)</f>
        <v>606</v>
      </c>
      <c r="F10" s="45">
        <f>E22</f>
        <v>562</v>
      </c>
      <c r="G10" s="42" t="str">
        <f>A22</f>
        <v>Meistrid&amp; Margarita</v>
      </c>
      <c r="H10" s="62">
        <f>SUM(H11:H13)</f>
        <v>433</v>
      </c>
      <c r="I10" s="45">
        <f>SUM(I11:I13)</f>
        <v>550</v>
      </c>
      <c r="J10" s="45">
        <f>I18</f>
        <v>464</v>
      </c>
      <c r="K10" s="42" t="str">
        <f>A18</f>
        <v>T.E.M.</v>
      </c>
      <c r="L10" s="133">
        <f>SUM(L11:L13)</f>
        <v>473</v>
      </c>
      <c r="M10" s="49">
        <f>SUM(M11:M13)</f>
        <v>590</v>
      </c>
      <c r="N10" s="45">
        <f>M14</f>
        <v>552</v>
      </c>
      <c r="O10" s="42" t="str">
        <f>A14</f>
        <v>Telfer Grupp</v>
      </c>
      <c r="P10" s="45">
        <f>SUM(P11:P13)</f>
        <v>441</v>
      </c>
      <c r="Q10" s="49">
        <f>SUM(Q11:Q13)</f>
        <v>558</v>
      </c>
      <c r="R10" s="45">
        <f>Q26</f>
        <v>457</v>
      </c>
      <c r="S10" s="42" t="str">
        <f>A26</f>
        <v>VERX</v>
      </c>
      <c r="T10" s="133">
        <f>SUM(T11:T13)</f>
        <v>457</v>
      </c>
      <c r="U10" s="49">
        <f>SUM(U11:U13)</f>
        <v>574</v>
      </c>
      <c r="V10" s="45">
        <f>U6</f>
        <v>484</v>
      </c>
      <c r="W10" s="42" t="str">
        <f>A6</f>
        <v>Latestoil</v>
      </c>
      <c r="X10" s="36">
        <f t="shared" si="0"/>
        <v>2878</v>
      </c>
      <c r="Y10" s="105">
        <f>SUM(Y11:Y13)</f>
        <v>2293</v>
      </c>
      <c r="Z10" s="65">
        <f>AVERAGE(Z11,Z12,Z13)</f>
        <v>191.86666666666667</v>
      </c>
      <c r="AA10" s="142">
        <f>AVERAGE(AA11,AA12,AA13)</f>
        <v>152.86666666666667</v>
      </c>
      <c r="AB10" s="219">
        <f>F11+J11+N11+R11+V11</f>
        <v>5</v>
      </c>
    </row>
    <row r="11" spans="1:28" s="38" customFormat="1" ht="15.75" customHeight="1">
      <c r="A11" s="222" t="s">
        <v>311</v>
      </c>
      <c r="B11" s="223"/>
      <c r="C11" s="159">
        <v>60</v>
      </c>
      <c r="D11" s="59">
        <v>154</v>
      </c>
      <c r="E11" s="50">
        <f>C11+D11</f>
        <v>214</v>
      </c>
      <c r="F11" s="224">
        <v>1</v>
      </c>
      <c r="G11" s="225"/>
      <c r="H11" s="97">
        <v>134</v>
      </c>
      <c r="I11" s="46">
        <f>H11+C11</f>
        <v>194</v>
      </c>
      <c r="J11" s="224">
        <v>1</v>
      </c>
      <c r="K11" s="225"/>
      <c r="L11" s="97">
        <v>144</v>
      </c>
      <c r="M11" s="50">
        <f>L11+C11</f>
        <v>204</v>
      </c>
      <c r="N11" s="224">
        <v>1</v>
      </c>
      <c r="O11" s="225"/>
      <c r="P11" s="97">
        <v>125</v>
      </c>
      <c r="Q11" s="50">
        <f>P11+C11</f>
        <v>185</v>
      </c>
      <c r="R11" s="224">
        <v>1</v>
      </c>
      <c r="S11" s="225"/>
      <c r="T11" s="97">
        <v>120</v>
      </c>
      <c r="U11" s="50">
        <f>T11+C11</f>
        <v>180</v>
      </c>
      <c r="V11" s="224">
        <v>1</v>
      </c>
      <c r="W11" s="225"/>
      <c r="X11" s="46">
        <f t="shared" si="0"/>
        <v>977</v>
      </c>
      <c r="Y11" s="106">
        <f>D11+H11+L11+P11+T11</f>
        <v>677</v>
      </c>
      <c r="Z11" s="67">
        <f>AVERAGE(E11,I11,M11,Q11,U11)</f>
        <v>195.4</v>
      </c>
      <c r="AA11" s="143">
        <f>AVERAGE(E11,I11,M11,Q11,U11)-C11</f>
        <v>135.4</v>
      </c>
      <c r="AB11" s="220"/>
    </row>
    <row r="12" spans="1:28" s="38" customFormat="1" ht="15.75" customHeight="1">
      <c r="A12" s="222" t="s">
        <v>51</v>
      </c>
      <c r="B12" s="223"/>
      <c r="C12" s="159">
        <v>37</v>
      </c>
      <c r="D12" s="59">
        <v>157</v>
      </c>
      <c r="E12" s="50">
        <f>C12+D12</f>
        <v>194</v>
      </c>
      <c r="F12" s="226"/>
      <c r="G12" s="227"/>
      <c r="H12" s="98">
        <v>148</v>
      </c>
      <c r="I12" s="46">
        <f>H12+C12</f>
        <v>185</v>
      </c>
      <c r="J12" s="226"/>
      <c r="K12" s="227"/>
      <c r="L12" s="98">
        <v>174</v>
      </c>
      <c r="M12" s="50">
        <f>L12+C12</f>
        <v>211</v>
      </c>
      <c r="N12" s="226"/>
      <c r="O12" s="227"/>
      <c r="P12" s="98">
        <v>148</v>
      </c>
      <c r="Q12" s="50">
        <f>P12+C12</f>
        <v>185</v>
      </c>
      <c r="R12" s="226"/>
      <c r="S12" s="227"/>
      <c r="T12" s="98">
        <v>146</v>
      </c>
      <c r="U12" s="50">
        <f>T12+C12</f>
        <v>183</v>
      </c>
      <c r="V12" s="226"/>
      <c r="W12" s="227"/>
      <c r="X12" s="46">
        <f t="shared" si="0"/>
        <v>958</v>
      </c>
      <c r="Y12" s="106">
        <f>D12+H12+L12+P12+T12</f>
        <v>773</v>
      </c>
      <c r="Z12" s="67">
        <f>AVERAGE(E12,I12,M12,Q12,U12)</f>
        <v>191.6</v>
      </c>
      <c r="AA12" s="143">
        <f>AVERAGE(E12,I12,M12,Q12,U12)-C12</f>
        <v>154.6</v>
      </c>
      <c r="AB12" s="220"/>
    </row>
    <row r="13" spans="1:28" s="38" customFormat="1" ht="15.75" customHeight="1" thickBot="1">
      <c r="A13" s="229" t="s">
        <v>288</v>
      </c>
      <c r="B13" s="230"/>
      <c r="C13" s="160">
        <v>20</v>
      </c>
      <c r="D13" s="60">
        <v>178</v>
      </c>
      <c r="E13" s="50">
        <f>C13+D13</f>
        <v>198</v>
      </c>
      <c r="F13" s="204"/>
      <c r="G13" s="228"/>
      <c r="H13" s="99">
        <v>151</v>
      </c>
      <c r="I13" s="46">
        <f>H13+C13</f>
        <v>171</v>
      </c>
      <c r="J13" s="204"/>
      <c r="K13" s="228"/>
      <c r="L13" s="99">
        <v>155</v>
      </c>
      <c r="M13" s="50">
        <f>L13+C13</f>
        <v>175</v>
      </c>
      <c r="N13" s="204"/>
      <c r="O13" s="228"/>
      <c r="P13" s="99">
        <v>168</v>
      </c>
      <c r="Q13" s="50">
        <f>P13+C13</f>
        <v>188</v>
      </c>
      <c r="R13" s="204"/>
      <c r="S13" s="228"/>
      <c r="T13" s="99">
        <v>191</v>
      </c>
      <c r="U13" s="50">
        <f>T13+C13</f>
        <v>211</v>
      </c>
      <c r="V13" s="204"/>
      <c r="W13" s="228"/>
      <c r="X13" s="47">
        <f t="shared" si="0"/>
        <v>943</v>
      </c>
      <c r="Y13" s="107">
        <f>D13+H13+L13+P13+T13</f>
        <v>843</v>
      </c>
      <c r="Z13" s="68">
        <f>AVERAGE(E13,I13,M13,Q13,U13)</f>
        <v>188.6</v>
      </c>
      <c r="AA13" s="144">
        <f>AVERAGE(E13,I13,M13,Q13,U13)-C13</f>
        <v>168.6</v>
      </c>
      <c r="AB13" s="221"/>
    </row>
    <row r="14" spans="1:28" s="38" customFormat="1" ht="47.25" customHeight="1">
      <c r="A14" s="217" t="s">
        <v>257</v>
      </c>
      <c r="B14" s="218"/>
      <c r="C14" s="158">
        <f>SUM(C15:C17)</f>
        <v>84</v>
      </c>
      <c r="D14" s="62">
        <f>SUM(D15:D17)</f>
        <v>469</v>
      </c>
      <c r="E14" s="45">
        <f>SUM(E15:E17)</f>
        <v>553</v>
      </c>
      <c r="F14" s="45">
        <f>E18</f>
        <v>493</v>
      </c>
      <c r="G14" s="42" t="str">
        <f>A18</f>
        <v>T.E.M.</v>
      </c>
      <c r="H14" s="62">
        <f>SUM(H15:H17)</f>
        <v>438</v>
      </c>
      <c r="I14" s="45">
        <f>SUM(I15:I17)</f>
        <v>522</v>
      </c>
      <c r="J14" s="45">
        <f>I26</f>
        <v>589</v>
      </c>
      <c r="K14" s="42" t="str">
        <f>A26</f>
        <v>VERX</v>
      </c>
      <c r="L14" s="133">
        <f>SUM(L15:L17)</f>
        <v>468</v>
      </c>
      <c r="M14" s="69">
        <f>SUM(M15:M17)</f>
        <v>552</v>
      </c>
      <c r="N14" s="45">
        <f>M10</f>
        <v>590</v>
      </c>
      <c r="O14" s="42" t="str">
        <f>A10</f>
        <v>Fulltrade</v>
      </c>
      <c r="P14" s="45">
        <f>SUM(P15:P17)</f>
        <v>438</v>
      </c>
      <c r="Q14" s="49">
        <f>SUM(Q15:Q17)</f>
        <v>522</v>
      </c>
      <c r="R14" s="45">
        <f>Q6</f>
        <v>518</v>
      </c>
      <c r="S14" s="42" t="str">
        <f>A6</f>
        <v>Latestoil</v>
      </c>
      <c r="T14" s="133">
        <f>SUM(T15:T17)</f>
        <v>422</v>
      </c>
      <c r="U14" s="69">
        <f>SUM(U15:U17)</f>
        <v>506</v>
      </c>
      <c r="V14" s="45">
        <f>U22</f>
        <v>509</v>
      </c>
      <c r="W14" s="42" t="str">
        <f>A22</f>
        <v>Meistrid&amp; Margarita</v>
      </c>
      <c r="X14" s="36">
        <f t="shared" si="0"/>
        <v>2655</v>
      </c>
      <c r="Y14" s="105">
        <f>SUM(Y15:Y17)</f>
        <v>2235</v>
      </c>
      <c r="Z14" s="65">
        <f>AVERAGE(Z15,Z16,Z17)</f>
        <v>177</v>
      </c>
      <c r="AA14" s="142">
        <f>AVERAGE(AA15,AA16,AA17)</f>
        <v>148.99999999999997</v>
      </c>
      <c r="AB14" s="219">
        <f>F15+J15+N15+R15+V15</f>
        <v>2</v>
      </c>
    </row>
    <row r="15" spans="1:28" s="38" customFormat="1" ht="15.75" customHeight="1">
      <c r="A15" s="222" t="s">
        <v>246</v>
      </c>
      <c r="B15" s="223"/>
      <c r="C15" s="159">
        <v>21</v>
      </c>
      <c r="D15" s="59">
        <v>189</v>
      </c>
      <c r="E15" s="50">
        <f>C15+D15</f>
        <v>210</v>
      </c>
      <c r="F15" s="224">
        <v>1</v>
      </c>
      <c r="G15" s="225"/>
      <c r="H15" s="97">
        <v>156</v>
      </c>
      <c r="I15" s="46">
        <f>H15+C15</f>
        <v>177</v>
      </c>
      <c r="J15" s="224">
        <v>0</v>
      </c>
      <c r="K15" s="225"/>
      <c r="L15" s="97">
        <v>167</v>
      </c>
      <c r="M15" s="50">
        <f>L15+C15</f>
        <v>188</v>
      </c>
      <c r="N15" s="224">
        <v>0</v>
      </c>
      <c r="O15" s="225"/>
      <c r="P15" s="97">
        <v>149</v>
      </c>
      <c r="Q15" s="50">
        <f>P15+C15</f>
        <v>170</v>
      </c>
      <c r="R15" s="224">
        <v>1</v>
      </c>
      <c r="S15" s="225"/>
      <c r="T15" s="97">
        <v>162</v>
      </c>
      <c r="U15" s="50">
        <f>T15+C15</f>
        <v>183</v>
      </c>
      <c r="V15" s="224">
        <v>0</v>
      </c>
      <c r="W15" s="225"/>
      <c r="X15" s="46">
        <f t="shared" si="0"/>
        <v>928</v>
      </c>
      <c r="Y15" s="106">
        <f>D15+H15+L15+P15+T15</f>
        <v>823</v>
      </c>
      <c r="Z15" s="67">
        <f>AVERAGE(E15,I15,M15,Q15,U15)</f>
        <v>185.6</v>
      </c>
      <c r="AA15" s="143">
        <f>AVERAGE(E15,I15,M15,Q15,U15)-C15</f>
        <v>164.6</v>
      </c>
      <c r="AB15" s="220"/>
    </row>
    <row r="16" spans="1:28" s="38" customFormat="1" ht="15.75" customHeight="1">
      <c r="A16" s="222" t="s">
        <v>247</v>
      </c>
      <c r="B16" s="223"/>
      <c r="C16" s="159">
        <v>42</v>
      </c>
      <c r="D16" s="59">
        <v>131</v>
      </c>
      <c r="E16" s="50">
        <f>C16+D16</f>
        <v>173</v>
      </c>
      <c r="F16" s="226"/>
      <c r="G16" s="227"/>
      <c r="H16" s="98">
        <v>114</v>
      </c>
      <c r="I16" s="46">
        <f>H16+C16</f>
        <v>156</v>
      </c>
      <c r="J16" s="226"/>
      <c r="K16" s="227"/>
      <c r="L16" s="98">
        <v>123</v>
      </c>
      <c r="M16" s="50">
        <f>L16+C16</f>
        <v>165</v>
      </c>
      <c r="N16" s="226"/>
      <c r="O16" s="227"/>
      <c r="P16" s="98">
        <v>117</v>
      </c>
      <c r="Q16" s="50">
        <f>P16+C16</f>
        <v>159</v>
      </c>
      <c r="R16" s="226"/>
      <c r="S16" s="227"/>
      <c r="T16" s="98">
        <v>91</v>
      </c>
      <c r="U16" s="50">
        <f>T16+C16</f>
        <v>133</v>
      </c>
      <c r="V16" s="226"/>
      <c r="W16" s="227"/>
      <c r="X16" s="46">
        <f t="shared" si="0"/>
        <v>786</v>
      </c>
      <c r="Y16" s="106">
        <f>D16+H16+L16+P16+T16</f>
        <v>576</v>
      </c>
      <c r="Z16" s="67">
        <f>AVERAGE(E16,I16,M16,Q16,U16)</f>
        <v>157.2</v>
      </c>
      <c r="AA16" s="143">
        <f>AVERAGE(E16,I16,M16,Q16,U16)-C16</f>
        <v>115.19999999999999</v>
      </c>
      <c r="AB16" s="220"/>
    </row>
    <row r="17" spans="1:28" s="38" customFormat="1" ht="15.75" customHeight="1" thickBot="1">
      <c r="A17" s="229" t="s">
        <v>248</v>
      </c>
      <c r="B17" s="230"/>
      <c r="C17" s="160">
        <v>21</v>
      </c>
      <c r="D17" s="60">
        <v>149</v>
      </c>
      <c r="E17" s="50">
        <f>C17+D17</f>
        <v>170</v>
      </c>
      <c r="F17" s="204"/>
      <c r="G17" s="228"/>
      <c r="H17" s="99">
        <v>168</v>
      </c>
      <c r="I17" s="46">
        <f>H17+C17</f>
        <v>189</v>
      </c>
      <c r="J17" s="204"/>
      <c r="K17" s="228"/>
      <c r="L17" s="99">
        <v>178</v>
      </c>
      <c r="M17" s="50">
        <f>L17+C17</f>
        <v>199</v>
      </c>
      <c r="N17" s="204"/>
      <c r="O17" s="228"/>
      <c r="P17" s="99">
        <v>172</v>
      </c>
      <c r="Q17" s="50">
        <f>P17+C17</f>
        <v>193</v>
      </c>
      <c r="R17" s="204"/>
      <c r="S17" s="228"/>
      <c r="T17" s="99">
        <v>169</v>
      </c>
      <c r="U17" s="50">
        <f>T17+C17</f>
        <v>190</v>
      </c>
      <c r="V17" s="204"/>
      <c r="W17" s="228"/>
      <c r="X17" s="47">
        <f t="shared" si="0"/>
        <v>941</v>
      </c>
      <c r="Y17" s="107">
        <f>D17+H17+L17+P17+T17</f>
        <v>836</v>
      </c>
      <c r="Z17" s="68">
        <f>AVERAGE(E17,I17,M17,Q17,U17)</f>
        <v>188.2</v>
      </c>
      <c r="AA17" s="144">
        <f>AVERAGE(E17,I17,M17,Q17,U17)-C17</f>
        <v>167.2</v>
      </c>
      <c r="AB17" s="221"/>
    </row>
    <row r="18" spans="1:28" s="38" customFormat="1" ht="39" customHeight="1">
      <c r="A18" s="217" t="s">
        <v>167</v>
      </c>
      <c r="B18" s="218"/>
      <c r="C18" s="158">
        <f>SUM(C19:C21)</f>
        <v>133</v>
      </c>
      <c r="D18" s="62">
        <f>SUM(D19:D21)</f>
        <v>360</v>
      </c>
      <c r="E18" s="45">
        <f>SUM(E19:E21)</f>
        <v>493</v>
      </c>
      <c r="F18" s="45">
        <f>E14</f>
        <v>553</v>
      </c>
      <c r="G18" s="42" t="str">
        <f>A14</f>
        <v>Telfer Grupp</v>
      </c>
      <c r="H18" s="62">
        <f>SUM(H19:H21)</f>
        <v>331</v>
      </c>
      <c r="I18" s="45">
        <f>SUM(I19:I21)</f>
        <v>464</v>
      </c>
      <c r="J18" s="45">
        <f>I10</f>
        <v>550</v>
      </c>
      <c r="K18" s="42" t="str">
        <f>A10</f>
        <v>Fulltrade</v>
      </c>
      <c r="L18" s="133">
        <f>SUM(L19:L21)</f>
        <v>366</v>
      </c>
      <c r="M18" s="49">
        <f>SUM(M19:M21)</f>
        <v>499</v>
      </c>
      <c r="N18" s="45">
        <f>M6</f>
        <v>648</v>
      </c>
      <c r="O18" s="42" t="str">
        <f>A6</f>
        <v>Latestoil</v>
      </c>
      <c r="P18" s="45">
        <f>SUM(P19:P21)</f>
        <v>393</v>
      </c>
      <c r="Q18" s="49">
        <f>SUM(Q19:Q21)</f>
        <v>526</v>
      </c>
      <c r="R18" s="45">
        <f>Q22</f>
        <v>567</v>
      </c>
      <c r="S18" s="42" t="str">
        <f>A22</f>
        <v>Meistrid&amp; Margarita</v>
      </c>
      <c r="T18" s="133">
        <f>SUM(T19:T21)</f>
        <v>426</v>
      </c>
      <c r="U18" s="49">
        <f>SUM(U19:U21)</f>
        <v>559</v>
      </c>
      <c r="V18" s="45">
        <f>U26</f>
        <v>550</v>
      </c>
      <c r="W18" s="42" t="str">
        <f>A26</f>
        <v>VERX</v>
      </c>
      <c r="X18" s="36">
        <f t="shared" si="0"/>
        <v>2541</v>
      </c>
      <c r="Y18" s="105">
        <f>SUM(Y19:Y21)</f>
        <v>1876</v>
      </c>
      <c r="Z18" s="65">
        <f>AVERAGE(Z19,Z20,Z21)</f>
        <v>169.4</v>
      </c>
      <c r="AA18" s="142">
        <f>AVERAGE(AA19,AA20,AA21)</f>
        <v>125.06666666666668</v>
      </c>
      <c r="AB18" s="219">
        <f>F19+J19+N19+R19+V19</f>
        <v>1</v>
      </c>
    </row>
    <row r="19" spans="1:28" s="38" customFormat="1" ht="15.75" customHeight="1">
      <c r="A19" s="222" t="s">
        <v>170</v>
      </c>
      <c r="B19" s="223"/>
      <c r="C19" s="159">
        <v>39</v>
      </c>
      <c r="D19" s="59">
        <v>111</v>
      </c>
      <c r="E19" s="50">
        <f>C19+D19</f>
        <v>150</v>
      </c>
      <c r="F19" s="224">
        <v>0</v>
      </c>
      <c r="G19" s="225"/>
      <c r="H19" s="97">
        <v>120</v>
      </c>
      <c r="I19" s="46">
        <f>H19+C19</f>
        <v>159</v>
      </c>
      <c r="J19" s="224">
        <v>0</v>
      </c>
      <c r="K19" s="225"/>
      <c r="L19" s="97">
        <v>126</v>
      </c>
      <c r="M19" s="50">
        <f>L19+C19</f>
        <v>165</v>
      </c>
      <c r="N19" s="224">
        <v>0</v>
      </c>
      <c r="O19" s="225"/>
      <c r="P19" s="97">
        <v>135</v>
      </c>
      <c r="Q19" s="50">
        <f>P19+C19</f>
        <v>174</v>
      </c>
      <c r="R19" s="224">
        <v>0</v>
      </c>
      <c r="S19" s="225"/>
      <c r="T19" s="97">
        <v>150</v>
      </c>
      <c r="U19" s="50">
        <f>T19+C19</f>
        <v>189</v>
      </c>
      <c r="V19" s="224">
        <v>1</v>
      </c>
      <c r="W19" s="225"/>
      <c r="X19" s="46">
        <f t="shared" si="0"/>
        <v>837</v>
      </c>
      <c r="Y19" s="106">
        <f>D19+H19+L19+P19+T19</f>
        <v>642</v>
      </c>
      <c r="Z19" s="67">
        <f>AVERAGE(E19,I19,M19,Q19,U19)</f>
        <v>167.4</v>
      </c>
      <c r="AA19" s="143">
        <f>AVERAGE(E19,I19,M19,Q19,U19)-C19</f>
        <v>128.4</v>
      </c>
      <c r="AB19" s="220"/>
    </row>
    <row r="20" spans="1:28" s="38" customFormat="1" ht="15.75" customHeight="1">
      <c r="A20" s="222" t="s">
        <v>168</v>
      </c>
      <c r="B20" s="223"/>
      <c r="C20" s="159">
        <v>40</v>
      </c>
      <c r="D20" s="59">
        <v>122</v>
      </c>
      <c r="E20" s="50">
        <f>C20+D20</f>
        <v>162</v>
      </c>
      <c r="F20" s="226"/>
      <c r="G20" s="227"/>
      <c r="H20" s="98">
        <v>116</v>
      </c>
      <c r="I20" s="46">
        <f>H20+C20</f>
        <v>156</v>
      </c>
      <c r="J20" s="226"/>
      <c r="K20" s="227"/>
      <c r="L20" s="98">
        <v>149</v>
      </c>
      <c r="M20" s="50">
        <f>L20+C20</f>
        <v>189</v>
      </c>
      <c r="N20" s="226"/>
      <c r="O20" s="227"/>
      <c r="P20" s="98">
        <v>119</v>
      </c>
      <c r="Q20" s="50">
        <f>P20+C20</f>
        <v>159</v>
      </c>
      <c r="R20" s="226"/>
      <c r="S20" s="227"/>
      <c r="T20" s="98">
        <v>141</v>
      </c>
      <c r="U20" s="50">
        <f>T20+C20</f>
        <v>181</v>
      </c>
      <c r="V20" s="226"/>
      <c r="W20" s="227"/>
      <c r="X20" s="46">
        <f t="shared" si="0"/>
        <v>847</v>
      </c>
      <c r="Y20" s="106">
        <f>D20+H20+L20+P20+T20</f>
        <v>647</v>
      </c>
      <c r="Z20" s="67">
        <f>AVERAGE(E20,I20,M20,Q20,U20)</f>
        <v>169.4</v>
      </c>
      <c r="AA20" s="143">
        <f>AVERAGE(E20,I20,M20,Q20,U20)-C20</f>
        <v>129.4</v>
      </c>
      <c r="AB20" s="220"/>
    </row>
    <row r="21" spans="1:29" s="38" customFormat="1" ht="15.75" customHeight="1" thickBot="1">
      <c r="A21" s="229" t="s">
        <v>169</v>
      </c>
      <c r="B21" s="230"/>
      <c r="C21" s="160">
        <v>54</v>
      </c>
      <c r="D21" s="60">
        <v>127</v>
      </c>
      <c r="E21" s="50">
        <f>C21+D21</f>
        <v>181</v>
      </c>
      <c r="F21" s="204"/>
      <c r="G21" s="228"/>
      <c r="H21" s="99">
        <v>95</v>
      </c>
      <c r="I21" s="46">
        <f>H21+C21</f>
        <v>149</v>
      </c>
      <c r="J21" s="204"/>
      <c r="K21" s="228"/>
      <c r="L21" s="99">
        <v>91</v>
      </c>
      <c r="M21" s="50">
        <f>L21+C21</f>
        <v>145</v>
      </c>
      <c r="N21" s="204"/>
      <c r="O21" s="228"/>
      <c r="P21" s="99">
        <v>139</v>
      </c>
      <c r="Q21" s="50">
        <f>P21+C21</f>
        <v>193</v>
      </c>
      <c r="R21" s="204"/>
      <c r="S21" s="228"/>
      <c r="T21" s="99">
        <v>135</v>
      </c>
      <c r="U21" s="50">
        <f>T21+C21</f>
        <v>189</v>
      </c>
      <c r="V21" s="204"/>
      <c r="W21" s="228"/>
      <c r="X21" s="47">
        <f t="shared" si="0"/>
        <v>857</v>
      </c>
      <c r="Y21" s="107">
        <f>D21+H21+L21+P21+T21</f>
        <v>587</v>
      </c>
      <c r="Z21" s="68">
        <f>AVERAGE(E21,I21,M21,Q21,U21)</f>
        <v>171.4</v>
      </c>
      <c r="AA21" s="144">
        <f>AVERAGE(E21,I21,M21,Q21,U21)-C21</f>
        <v>117.4</v>
      </c>
      <c r="AB21" s="221"/>
      <c r="AC21" s="44"/>
    </row>
    <row r="22" spans="1:28" s="38" customFormat="1" ht="40.5" customHeight="1">
      <c r="A22" s="217" t="s">
        <v>79</v>
      </c>
      <c r="B22" s="218"/>
      <c r="C22" s="158">
        <f>SUM(C23:C25)</f>
        <v>53</v>
      </c>
      <c r="D22" s="62">
        <f>SUM(D23:D25)</f>
        <v>509</v>
      </c>
      <c r="E22" s="45">
        <f>SUM(E23:E25)</f>
        <v>562</v>
      </c>
      <c r="F22" s="45">
        <f>E10</f>
        <v>606</v>
      </c>
      <c r="G22" s="42" t="str">
        <f>A10</f>
        <v>Fulltrade</v>
      </c>
      <c r="H22" s="62">
        <f>SUM(H23:H25)</f>
        <v>552</v>
      </c>
      <c r="I22" s="45">
        <f>SUM(I23:I25)</f>
        <v>605</v>
      </c>
      <c r="J22" s="45">
        <f>I6</f>
        <v>575</v>
      </c>
      <c r="K22" s="42" t="str">
        <f>A6</f>
        <v>Latestoil</v>
      </c>
      <c r="L22" s="133">
        <f>SUM(L23:L25)</f>
        <v>468</v>
      </c>
      <c r="M22" s="69">
        <f>SUM(M23:M25)</f>
        <v>521</v>
      </c>
      <c r="N22" s="45">
        <f>M26</f>
        <v>521</v>
      </c>
      <c r="O22" s="42" t="str">
        <f>A26</f>
        <v>VERX</v>
      </c>
      <c r="P22" s="45">
        <f>SUM(P23:P25)</f>
        <v>514</v>
      </c>
      <c r="Q22" s="69">
        <f>SUM(Q23:Q25)</f>
        <v>567</v>
      </c>
      <c r="R22" s="45">
        <f>Q18</f>
        <v>526</v>
      </c>
      <c r="S22" s="42" t="str">
        <f>A18</f>
        <v>T.E.M.</v>
      </c>
      <c r="T22" s="133">
        <f>SUM(T23:T25)</f>
        <v>456</v>
      </c>
      <c r="U22" s="69">
        <f>SUM(U23:U25)</f>
        <v>509</v>
      </c>
      <c r="V22" s="45">
        <f>U14</f>
        <v>506</v>
      </c>
      <c r="W22" s="42" t="str">
        <f>A14</f>
        <v>Telfer Grupp</v>
      </c>
      <c r="X22" s="36">
        <f t="shared" si="0"/>
        <v>2764</v>
      </c>
      <c r="Y22" s="105">
        <f>SUM(Y23:Y25)</f>
        <v>2499</v>
      </c>
      <c r="Z22" s="65">
        <f>AVERAGE(Z23,Z24,Z25)</f>
        <v>184.26666666666665</v>
      </c>
      <c r="AA22" s="142">
        <f>AVERAGE(AA23,AA24,AA25)</f>
        <v>166.6</v>
      </c>
      <c r="AB22" s="219">
        <f>F23+J23+N23+R23+V23</f>
        <v>3.5</v>
      </c>
    </row>
    <row r="23" spans="1:28" s="38" customFormat="1" ht="15.75" customHeight="1">
      <c r="A23" s="222" t="s">
        <v>87</v>
      </c>
      <c r="B23" s="223"/>
      <c r="C23" s="159">
        <v>20</v>
      </c>
      <c r="D23" s="59">
        <v>163</v>
      </c>
      <c r="E23" s="50">
        <f>C23+D23</f>
        <v>183</v>
      </c>
      <c r="F23" s="224">
        <v>0</v>
      </c>
      <c r="G23" s="225"/>
      <c r="H23" s="97">
        <v>211</v>
      </c>
      <c r="I23" s="46">
        <f>H23+C23</f>
        <v>231</v>
      </c>
      <c r="J23" s="224">
        <v>1</v>
      </c>
      <c r="K23" s="225"/>
      <c r="L23" s="97">
        <v>126</v>
      </c>
      <c r="M23" s="50">
        <f>L23+C23</f>
        <v>146</v>
      </c>
      <c r="N23" s="224">
        <v>0.5</v>
      </c>
      <c r="O23" s="225"/>
      <c r="P23" s="97">
        <v>201</v>
      </c>
      <c r="Q23" s="50">
        <f>P23+C23</f>
        <v>221</v>
      </c>
      <c r="R23" s="224">
        <v>1</v>
      </c>
      <c r="S23" s="225"/>
      <c r="T23" s="97">
        <v>181</v>
      </c>
      <c r="U23" s="50">
        <f>T23+C23</f>
        <v>201</v>
      </c>
      <c r="V23" s="224">
        <v>1</v>
      </c>
      <c r="W23" s="225"/>
      <c r="X23" s="46">
        <f t="shared" si="0"/>
        <v>982</v>
      </c>
      <c r="Y23" s="106">
        <f>D23+H23+L23+P23+T23</f>
        <v>882</v>
      </c>
      <c r="Z23" s="67">
        <f>AVERAGE(E23,I23,M23,Q23,U23)</f>
        <v>196.4</v>
      </c>
      <c r="AA23" s="143">
        <f>AVERAGE(E23,I23,M23,Q23,U23)-C23</f>
        <v>176.4</v>
      </c>
      <c r="AB23" s="220"/>
    </row>
    <row r="24" spans="1:28" s="38" customFormat="1" ht="15.75" customHeight="1">
      <c r="A24" s="222" t="s">
        <v>293</v>
      </c>
      <c r="B24" s="223"/>
      <c r="C24" s="159">
        <v>18</v>
      </c>
      <c r="D24" s="59">
        <v>163</v>
      </c>
      <c r="E24" s="50">
        <f>C24+D24</f>
        <v>181</v>
      </c>
      <c r="F24" s="226"/>
      <c r="G24" s="227"/>
      <c r="H24" s="98">
        <v>165</v>
      </c>
      <c r="I24" s="46">
        <f>H24+C24</f>
        <v>183</v>
      </c>
      <c r="J24" s="226"/>
      <c r="K24" s="227"/>
      <c r="L24" s="98">
        <v>161</v>
      </c>
      <c r="M24" s="50">
        <f>L24+C24</f>
        <v>179</v>
      </c>
      <c r="N24" s="226"/>
      <c r="O24" s="227"/>
      <c r="P24" s="98">
        <v>133</v>
      </c>
      <c r="Q24" s="50">
        <f>P24+C24</f>
        <v>151</v>
      </c>
      <c r="R24" s="226"/>
      <c r="S24" s="227"/>
      <c r="T24" s="98">
        <v>140</v>
      </c>
      <c r="U24" s="50">
        <f>T24+C24</f>
        <v>158</v>
      </c>
      <c r="V24" s="226"/>
      <c r="W24" s="227"/>
      <c r="X24" s="46">
        <f t="shared" si="0"/>
        <v>852</v>
      </c>
      <c r="Y24" s="106">
        <f>D24+H24+L24+P24+T24</f>
        <v>762</v>
      </c>
      <c r="Z24" s="67">
        <f>AVERAGE(E24,I24,M24,Q24,U24)</f>
        <v>170.4</v>
      </c>
      <c r="AA24" s="143">
        <f>AVERAGE(E24,I24,M24,Q24,U24)-C24</f>
        <v>152.4</v>
      </c>
      <c r="AB24" s="220"/>
    </row>
    <row r="25" spans="1:28" s="38" customFormat="1" ht="15.75" customHeight="1" thickBot="1">
      <c r="A25" s="229" t="s">
        <v>89</v>
      </c>
      <c r="B25" s="230"/>
      <c r="C25" s="160">
        <v>15</v>
      </c>
      <c r="D25" s="60">
        <v>183</v>
      </c>
      <c r="E25" s="50">
        <f>C25+D25</f>
        <v>198</v>
      </c>
      <c r="F25" s="204"/>
      <c r="G25" s="228"/>
      <c r="H25" s="99">
        <v>176</v>
      </c>
      <c r="I25" s="46">
        <f>H25+C25</f>
        <v>191</v>
      </c>
      <c r="J25" s="204"/>
      <c r="K25" s="228"/>
      <c r="L25" s="99">
        <v>181</v>
      </c>
      <c r="M25" s="50">
        <f>L25+C25</f>
        <v>196</v>
      </c>
      <c r="N25" s="204"/>
      <c r="O25" s="228"/>
      <c r="P25" s="99">
        <v>180</v>
      </c>
      <c r="Q25" s="50">
        <f>P25+C25</f>
        <v>195</v>
      </c>
      <c r="R25" s="204"/>
      <c r="S25" s="228"/>
      <c r="T25" s="99">
        <v>135</v>
      </c>
      <c r="U25" s="50">
        <f>T25+C25</f>
        <v>150</v>
      </c>
      <c r="V25" s="204"/>
      <c r="W25" s="228"/>
      <c r="X25" s="47">
        <f t="shared" si="0"/>
        <v>930</v>
      </c>
      <c r="Y25" s="107">
        <f>D25+H25+L25+P25+T25</f>
        <v>855</v>
      </c>
      <c r="Z25" s="68">
        <f>AVERAGE(E25,I25,M25,Q25,U25)</f>
        <v>186</v>
      </c>
      <c r="AA25" s="144">
        <f>AVERAGE(E25,I25,M25,Q25,U25)-C25</f>
        <v>171</v>
      </c>
      <c r="AB25" s="221"/>
    </row>
    <row r="26" spans="1:28" s="38" customFormat="1" ht="42" customHeight="1">
      <c r="A26" s="217" t="s">
        <v>105</v>
      </c>
      <c r="B26" s="218"/>
      <c r="C26" s="158">
        <f>SUM(C27:C29)</f>
        <v>84</v>
      </c>
      <c r="D26" s="62">
        <f>SUM(D27:D29)</f>
        <v>414</v>
      </c>
      <c r="E26" s="45">
        <f>SUM(E27:E29)</f>
        <v>498</v>
      </c>
      <c r="F26" s="45">
        <f>E6</f>
        <v>477</v>
      </c>
      <c r="G26" s="42" t="str">
        <f>A6</f>
        <v>Latestoil</v>
      </c>
      <c r="H26" s="62">
        <f>SUM(H27:H29)</f>
        <v>505</v>
      </c>
      <c r="I26" s="45">
        <f>SUM(I27:I29)</f>
        <v>589</v>
      </c>
      <c r="J26" s="45">
        <f>I14</f>
        <v>522</v>
      </c>
      <c r="K26" s="42" t="str">
        <f>A14</f>
        <v>Telfer Grupp</v>
      </c>
      <c r="L26" s="133">
        <f>SUM(L27:L29)</f>
        <v>437</v>
      </c>
      <c r="M26" s="49">
        <f>SUM(M27:M29)</f>
        <v>521</v>
      </c>
      <c r="N26" s="45">
        <f>M22</f>
        <v>521</v>
      </c>
      <c r="O26" s="42" t="str">
        <f>A22</f>
        <v>Meistrid&amp; Margarita</v>
      </c>
      <c r="P26" s="45">
        <f>SUM(P27:P29)</f>
        <v>373</v>
      </c>
      <c r="Q26" s="49">
        <f>SUM(Q27:Q29)</f>
        <v>457</v>
      </c>
      <c r="R26" s="45">
        <f>Q10</f>
        <v>558</v>
      </c>
      <c r="S26" s="42" t="str">
        <f>A10</f>
        <v>Fulltrade</v>
      </c>
      <c r="T26" s="133">
        <f>SUM(T27:T29)</f>
        <v>466</v>
      </c>
      <c r="U26" s="49">
        <f>SUM(U27:U29)</f>
        <v>550</v>
      </c>
      <c r="V26" s="45">
        <f>U18</f>
        <v>559</v>
      </c>
      <c r="W26" s="42" t="str">
        <f>A18</f>
        <v>T.E.M.</v>
      </c>
      <c r="X26" s="36">
        <f t="shared" si="0"/>
        <v>2615</v>
      </c>
      <c r="Y26" s="105">
        <f>SUM(Y27:Y29)</f>
        <v>2195</v>
      </c>
      <c r="Z26" s="65">
        <f>AVERAGE(Z27,Z28,Z29)</f>
        <v>174.33333333333334</v>
      </c>
      <c r="AA26" s="142">
        <f>AVERAGE(AA27,AA28,AA29)</f>
        <v>146.33333333333334</v>
      </c>
      <c r="AB26" s="219">
        <f>F27+J27+N27+R27+V27</f>
        <v>2.5</v>
      </c>
    </row>
    <row r="27" spans="1:28" s="38" customFormat="1" ht="15.75" customHeight="1">
      <c r="A27" s="222" t="s">
        <v>112</v>
      </c>
      <c r="B27" s="223"/>
      <c r="C27" s="159">
        <v>26</v>
      </c>
      <c r="D27" s="59">
        <v>131</v>
      </c>
      <c r="E27" s="50">
        <f>C27+D27</f>
        <v>157</v>
      </c>
      <c r="F27" s="224">
        <v>1</v>
      </c>
      <c r="G27" s="225"/>
      <c r="H27" s="97">
        <v>155</v>
      </c>
      <c r="I27" s="46">
        <f>H27+C27</f>
        <v>181</v>
      </c>
      <c r="J27" s="224">
        <v>1</v>
      </c>
      <c r="K27" s="225"/>
      <c r="L27" s="97">
        <v>147</v>
      </c>
      <c r="M27" s="50">
        <f>L27+C27</f>
        <v>173</v>
      </c>
      <c r="N27" s="224">
        <v>0.5</v>
      </c>
      <c r="O27" s="225"/>
      <c r="P27" s="97">
        <v>133</v>
      </c>
      <c r="Q27" s="50">
        <f>P27+C27</f>
        <v>159</v>
      </c>
      <c r="R27" s="224">
        <v>0</v>
      </c>
      <c r="S27" s="225"/>
      <c r="T27" s="97">
        <v>161</v>
      </c>
      <c r="U27" s="50">
        <f>T27+C27</f>
        <v>187</v>
      </c>
      <c r="V27" s="224">
        <v>0</v>
      </c>
      <c r="W27" s="225"/>
      <c r="X27" s="46">
        <f t="shared" si="0"/>
        <v>857</v>
      </c>
      <c r="Y27" s="106">
        <f>D27+H27+L27+P27+T27</f>
        <v>727</v>
      </c>
      <c r="Z27" s="67">
        <f>AVERAGE(E27,I27,M27,Q27,U27)</f>
        <v>171.4</v>
      </c>
      <c r="AA27" s="143">
        <f>AVERAGE(E27,I27,M27,Q27,U27)-C27</f>
        <v>145.4</v>
      </c>
      <c r="AB27" s="220"/>
    </row>
    <row r="28" spans="1:28" s="38" customFormat="1" ht="15.75" customHeight="1">
      <c r="A28" s="222" t="s">
        <v>113</v>
      </c>
      <c r="B28" s="223"/>
      <c r="C28" s="159">
        <v>30</v>
      </c>
      <c r="D28" s="59">
        <v>138</v>
      </c>
      <c r="E28" s="50">
        <f>C28+D28</f>
        <v>168</v>
      </c>
      <c r="F28" s="226"/>
      <c r="G28" s="227"/>
      <c r="H28" s="98">
        <v>186</v>
      </c>
      <c r="I28" s="46">
        <f>H28+C28</f>
        <v>216</v>
      </c>
      <c r="J28" s="226"/>
      <c r="K28" s="227"/>
      <c r="L28" s="98">
        <v>128</v>
      </c>
      <c r="M28" s="50">
        <f>L28+C28</f>
        <v>158</v>
      </c>
      <c r="N28" s="226"/>
      <c r="O28" s="227"/>
      <c r="P28" s="98">
        <v>121</v>
      </c>
      <c r="Q28" s="50">
        <f>P28+C28</f>
        <v>151</v>
      </c>
      <c r="R28" s="226"/>
      <c r="S28" s="227"/>
      <c r="T28" s="98">
        <v>159</v>
      </c>
      <c r="U28" s="50">
        <f>T28+C28</f>
        <v>189</v>
      </c>
      <c r="V28" s="226"/>
      <c r="W28" s="227"/>
      <c r="X28" s="46">
        <f t="shared" si="0"/>
        <v>882</v>
      </c>
      <c r="Y28" s="106">
        <f>D28+H28+L28+P28+T28</f>
        <v>732</v>
      </c>
      <c r="Z28" s="67">
        <f>AVERAGE(E28,I28,M28,Q28,U28)</f>
        <v>176.4</v>
      </c>
      <c r="AA28" s="143">
        <f>AVERAGE(E28,I28,M28,Q28,U28)-C28</f>
        <v>146.4</v>
      </c>
      <c r="AB28" s="220"/>
    </row>
    <row r="29" spans="1:28" s="38" customFormat="1" ht="15.75" customHeight="1" thickBot="1">
      <c r="A29" s="229" t="s">
        <v>114</v>
      </c>
      <c r="B29" s="230"/>
      <c r="C29" s="160">
        <v>28</v>
      </c>
      <c r="D29" s="60">
        <v>145</v>
      </c>
      <c r="E29" s="50">
        <f>C29+D29</f>
        <v>173</v>
      </c>
      <c r="F29" s="204"/>
      <c r="G29" s="228"/>
      <c r="H29" s="99">
        <v>164</v>
      </c>
      <c r="I29" s="46">
        <f>H29+C29</f>
        <v>192</v>
      </c>
      <c r="J29" s="204"/>
      <c r="K29" s="228"/>
      <c r="L29" s="99">
        <v>162</v>
      </c>
      <c r="M29" s="50">
        <f>L29+C29</f>
        <v>190</v>
      </c>
      <c r="N29" s="204"/>
      <c r="O29" s="228"/>
      <c r="P29" s="99">
        <v>119</v>
      </c>
      <c r="Q29" s="50">
        <f>P29+C29</f>
        <v>147</v>
      </c>
      <c r="R29" s="204"/>
      <c r="S29" s="228"/>
      <c r="T29" s="99">
        <v>146</v>
      </c>
      <c r="U29" s="50">
        <f>T29+C29</f>
        <v>174</v>
      </c>
      <c r="V29" s="204"/>
      <c r="W29" s="228"/>
      <c r="X29" s="47">
        <f t="shared" si="0"/>
        <v>876</v>
      </c>
      <c r="Y29" s="107">
        <f>D29+H29+L29+P29+T29</f>
        <v>736</v>
      </c>
      <c r="Z29" s="68">
        <f>AVERAGE(E29,I29,M29,Q29,U29)</f>
        <v>175.2</v>
      </c>
      <c r="AA29" s="144">
        <f>AVERAGE(E29,I29,M29,Q29,U29)-C29</f>
        <v>147.2</v>
      </c>
      <c r="AB29" s="221"/>
    </row>
    <row r="30" ht="16.5">
      <c r="P30" s="83">
        <v>0</v>
      </c>
    </row>
    <row r="31" spans="1:28" s="40" customFormat="1" ht="17.25" customHeight="1">
      <c r="A31" s="207" t="s">
        <v>308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4"/>
      <c r="W31" s="25"/>
      <c r="Y31" s="57"/>
      <c r="Z31" s="41"/>
      <c r="AA31" s="139"/>
      <c r="AB31" s="25"/>
    </row>
    <row r="32" spans="1:28" s="40" customFormat="1" ht="17.25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4"/>
      <c r="W32" s="25"/>
      <c r="Y32" s="57"/>
      <c r="Z32" s="41"/>
      <c r="AA32" s="139"/>
      <c r="AB32" s="25"/>
    </row>
    <row r="33" spans="1:28" s="40" customFormat="1" ht="23.2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5"/>
      <c r="W33" s="25"/>
      <c r="Y33" s="57"/>
      <c r="Z33" s="41"/>
      <c r="AA33" s="139"/>
      <c r="AB33" s="25"/>
    </row>
    <row r="34" spans="1:28" s="31" customFormat="1" ht="15.75" customHeight="1">
      <c r="A34" s="209" t="s">
        <v>0</v>
      </c>
      <c r="B34" s="210"/>
      <c r="C34" s="156" t="s">
        <v>39</v>
      </c>
      <c r="D34" s="55"/>
      <c r="E34" s="27" t="s">
        <v>1</v>
      </c>
      <c r="F34" s="211" t="s">
        <v>2</v>
      </c>
      <c r="G34" s="212"/>
      <c r="H34" s="94"/>
      <c r="I34" s="27" t="s">
        <v>3</v>
      </c>
      <c r="J34" s="211" t="s">
        <v>2</v>
      </c>
      <c r="K34" s="212"/>
      <c r="L34" s="94"/>
      <c r="M34" s="27" t="s">
        <v>4</v>
      </c>
      <c r="N34" s="211" t="s">
        <v>2</v>
      </c>
      <c r="O34" s="212"/>
      <c r="P34" s="94"/>
      <c r="Q34" s="27" t="s">
        <v>5</v>
      </c>
      <c r="R34" s="211" t="s">
        <v>2</v>
      </c>
      <c r="S34" s="212"/>
      <c r="T34" s="94"/>
      <c r="U34" s="27" t="s">
        <v>6</v>
      </c>
      <c r="V34" s="211" t="s">
        <v>2</v>
      </c>
      <c r="W34" s="212"/>
      <c r="X34" s="28" t="s">
        <v>7</v>
      </c>
      <c r="Y34" s="104"/>
      <c r="Z34" s="29" t="s">
        <v>40</v>
      </c>
      <c r="AA34" s="140" t="s">
        <v>42</v>
      </c>
      <c r="AB34" s="30" t="s">
        <v>7</v>
      </c>
    </row>
    <row r="35" spans="1:28" s="31" customFormat="1" ht="15.75" customHeight="1" thickBot="1">
      <c r="A35" s="213" t="s">
        <v>9</v>
      </c>
      <c r="B35" s="214"/>
      <c r="C35" s="157"/>
      <c r="D35" s="56"/>
      <c r="E35" s="32" t="s">
        <v>10</v>
      </c>
      <c r="F35" s="211" t="s">
        <v>11</v>
      </c>
      <c r="G35" s="212"/>
      <c r="H35" s="95"/>
      <c r="I35" s="32" t="s">
        <v>10</v>
      </c>
      <c r="J35" s="215" t="s">
        <v>11</v>
      </c>
      <c r="K35" s="216"/>
      <c r="L35" s="95"/>
      <c r="M35" s="32" t="s">
        <v>10</v>
      </c>
      <c r="N35" s="215" t="s">
        <v>11</v>
      </c>
      <c r="O35" s="216"/>
      <c r="P35" s="95"/>
      <c r="Q35" s="32" t="s">
        <v>10</v>
      </c>
      <c r="R35" s="215" t="s">
        <v>11</v>
      </c>
      <c r="S35" s="216"/>
      <c r="T35" s="95"/>
      <c r="U35" s="32" t="s">
        <v>10</v>
      </c>
      <c r="V35" s="215" t="s">
        <v>11</v>
      </c>
      <c r="W35" s="216"/>
      <c r="X35" s="33" t="s">
        <v>10</v>
      </c>
      <c r="Y35" s="134" t="s">
        <v>287</v>
      </c>
      <c r="Z35" s="34" t="s">
        <v>41</v>
      </c>
      <c r="AA35" s="141" t="s">
        <v>43</v>
      </c>
      <c r="AB35" s="35" t="s">
        <v>12</v>
      </c>
    </row>
    <row r="36" spans="1:28" s="38" customFormat="1" ht="42" customHeight="1">
      <c r="A36" s="217" t="s">
        <v>282</v>
      </c>
      <c r="B36" s="218"/>
      <c r="C36" s="158">
        <f>SUM(C37:C39)</f>
        <v>124</v>
      </c>
      <c r="D36" s="62">
        <f>SUM(D37:D39)</f>
        <v>438</v>
      </c>
      <c r="E36" s="63">
        <f>SUM(E37:E39)</f>
        <v>562</v>
      </c>
      <c r="F36" s="46">
        <f>E56</f>
        <v>551</v>
      </c>
      <c r="G36" s="64" t="str">
        <f>A56</f>
        <v>SADO</v>
      </c>
      <c r="H36" s="62">
        <f>SUM(H37:H39)</f>
        <v>372</v>
      </c>
      <c r="I36" s="49">
        <f>SUM(I37:I39)</f>
        <v>496</v>
      </c>
      <c r="J36" s="49">
        <f>I52</f>
        <v>527</v>
      </c>
      <c r="K36" s="42" t="str">
        <f>A52</f>
        <v>Vest-Wood 1</v>
      </c>
      <c r="L36" s="58">
        <f>SUM(L37:L39)</f>
        <v>389</v>
      </c>
      <c r="M36" s="45">
        <f>SUM(M37:M39)</f>
        <v>513</v>
      </c>
      <c r="N36" s="45">
        <f>M48</f>
        <v>477</v>
      </c>
      <c r="O36" s="42" t="str">
        <f>A48</f>
        <v>A.E.J.</v>
      </c>
      <c r="P36" s="45">
        <f>SUM(P37:P39)</f>
        <v>412</v>
      </c>
      <c r="Q36" s="45">
        <f>SUM(Q37:Q39)</f>
        <v>536</v>
      </c>
      <c r="R36" s="45">
        <f>Q44</f>
        <v>508</v>
      </c>
      <c r="S36" s="42" t="str">
        <f>A44</f>
        <v>LAJOS 1</v>
      </c>
      <c r="T36" s="133">
        <f>SUM(T37:T39)</f>
        <v>426</v>
      </c>
      <c r="U36" s="45">
        <f>SUM(U37:U39)</f>
        <v>550</v>
      </c>
      <c r="V36" s="45">
        <f>U40</f>
        <v>603</v>
      </c>
      <c r="W36" s="42" t="str">
        <f>A40</f>
        <v>Isokuul</v>
      </c>
      <c r="X36" s="36">
        <f aca="true" t="shared" si="1" ref="X36:X59">E36+I36+M36+Q36+U36</f>
        <v>2657</v>
      </c>
      <c r="Y36" s="105">
        <f>SUM(Y37:Y39)</f>
        <v>2037</v>
      </c>
      <c r="Z36" s="37">
        <f>AVERAGE(Z37,Z38,Z39)</f>
        <v>177.13333333333333</v>
      </c>
      <c r="AA36" s="142">
        <f>AVERAGE(AA37,AA38,AA39)</f>
        <v>135.79999999999998</v>
      </c>
      <c r="AB36" s="219">
        <f>F37+J37+N37+R37+V37</f>
        <v>3</v>
      </c>
    </row>
    <row r="37" spans="1:28" s="38" customFormat="1" ht="15.75" customHeight="1">
      <c r="A37" s="222" t="s">
        <v>147</v>
      </c>
      <c r="B37" s="223"/>
      <c r="C37" s="159">
        <v>28</v>
      </c>
      <c r="D37" s="59">
        <v>188</v>
      </c>
      <c r="E37" s="50">
        <f>D37+C37</f>
        <v>216</v>
      </c>
      <c r="F37" s="224">
        <v>1</v>
      </c>
      <c r="G37" s="225"/>
      <c r="H37" s="97">
        <v>117</v>
      </c>
      <c r="I37" s="46">
        <f>H37+C37</f>
        <v>145</v>
      </c>
      <c r="J37" s="224">
        <v>0</v>
      </c>
      <c r="K37" s="225"/>
      <c r="L37" s="97">
        <v>133</v>
      </c>
      <c r="M37" s="50">
        <f>L37+C37</f>
        <v>161</v>
      </c>
      <c r="N37" s="224">
        <v>1</v>
      </c>
      <c r="O37" s="225"/>
      <c r="P37" s="97">
        <v>166</v>
      </c>
      <c r="Q37" s="50">
        <f>P37+C37</f>
        <v>194</v>
      </c>
      <c r="R37" s="224">
        <v>1</v>
      </c>
      <c r="S37" s="225"/>
      <c r="T37" s="97">
        <v>164</v>
      </c>
      <c r="U37" s="50">
        <f>T37+C37</f>
        <v>192</v>
      </c>
      <c r="V37" s="224">
        <v>0</v>
      </c>
      <c r="W37" s="225"/>
      <c r="X37" s="46">
        <f t="shared" si="1"/>
        <v>908</v>
      </c>
      <c r="Y37" s="106">
        <f>D37+H37+L37+P37+T37</f>
        <v>768</v>
      </c>
      <c r="Z37" s="67">
        <f>AVERAGE(E37,I37,M37,Q37,U37)</f>
        <v>181.6</v>
      </c>
      <c r="AA37" s="143">
        <f>AVERAGE(E37,I37,M37,Q37,U37)-C37</f>
        <v>153.6</v>
      </c>
      <c r="AB37" s="220"/>
    </row>
    <row r="38" spans="1:28" s="38" customFormat="1" ht="15.75" customHeight="1">
      <c r="A38" s="222" t="s">
        <v>310</v>
      </c>
      <c r="B38" s="223"/>
      <c r="C38" s="159">
        <v>60</v>
      </c>
      <c r="D38" s="59">
        <v>113</v>
      </c>
      <c r="E38" s="50">
        <f>D38+C38</f>
        <v>173</v>
      </c>
      <c r="F38" s="226"/>
      <c r="G38" s="227"/>
      <c r="H38" s="98">
        <v>125</v>
      </c>
      <c r="I38" s="46">
        <f>H38+C38</f>
        <v>185</v>
      </c>
      <c r="J38" s="226"/>
      <c r="K38" s="227"/>
      <c r="L38" s="98">
        <v>142</v>
      </c>
      <c r="M38" s="50">
        <f>L38+C38</f>
        <v>202</v>
      </c>
      <c r="N38" s="226"/>
      <c r="O38" s="227"/>
      <c r="P38" s="98">
        <v>133</v>
      </c>
      <c r="Q38" s="50">
        <f>P38+C38</f>
        <v>193</v>
      </c>
      <c r="R38" s="226"/>
      <c r="S38" s="227"/>
      <c r="T38" s="98">
        <v>96</v>
      </c>
      <c r="U38" s="50">
        <f>T38+C38</f>
        <v>156</v>
      </c>
      <c r="V38" s="226"/>
      <c r="W38" s="227"/>
      <c r="X38" s="46">
        <f t="shared" si="1"/>
        <v>909</v>
      </c>
      <c r="Y38" s="106">
        <f>D38+H38+L38+P38+T38</f>
        <v>609</v>
      </c>
      <c r="Z38" s="67">
        <f>AVERAGE(E38,I38,M38,Q38,U38)</f>
        <v>181.8</v>
      </c>
      <c r="AA38" s="143">
        <f>AVERAGE(E38,I38,M38,Q38,U38)-C38</f>
        <v>121.80000000000001</v>
      </c>
      <c r="AB38" s="220"/>
    </row>
    <row r="39" spans="1:28" s="38" customFormat="1" ht="16.5" customHeight="1" thickBot="1">
      <c r="A39" s="229" t="s">
        <v>149</v>
      </c>
      <c r="B39" s="230"/>
      <c r="C39" s="160">
        <v>36</v>
      </c>
      <c r="D39" s="60">
        <v>137</v>
      </c>
      <c r="E39" s="50">
        <f>D39+C39</f>
        <v>173</v>
      </c>
      <c r="F39" s="204"/>
      <c r="G39" s="228"/>
      <c r="H39" s="99">
        <v>130</v>
      </c>
      <c r="I39" s="46">
        <f>H39+C39</f>
        <v>166</v>
      </c>
      <c r="J39" s="204"/>
      <c r="K39" s="228"/>
      <c r="L39" s="99">
        <v>114</v>
      </c>
      <c r="M39" s="50">
        <f>L39+C39</f>
        <v>150</v>
      </c>
      <c r="N39" s="204"/>
      <c r="O39" s="228"/>
      <c r="P39" s="99">
        <v>113</v>
      </c>
      <c r="Q39" s="50">
        <f>P39+C39</f>
        <v>149</v>
      </c>
      <c r="R39" s="204"/>
      <c r="S39" s="228"/>
      <c r="T39" s="99">
        <v>166</v>
      </c>
      <c r="U39" s="50">
        <f>T39+C39</f>
        <v>202</v>
      </c>
      <c r="V39" s="204"/>
      <c r="W39" s="228"/>
      <c r="X39" s="47">
        <f t="shared" si="1"/>
        <v>840</v>
      </c>
      <c r="Y39" s="107">
        <f>D39+H39+L39+P39+T39</f>
        <v>660</v>
      </c>
      <c r="Z39" s="68">
        <f>AVERAGE(E39,I39,M39,Q39,U39)</f>
        <v>168</v>
      </c>
      <c r="AA39" s="144">
        <f>AVERAGE(E39,I39,M39,Q39,U39)-C39</f>
        <v>132</v>
      </c>
      <c r="AB39" s="221"/>
    </row>
    <row r="40" spans="1:28" s="38" customFormat="1" ht="41.25" customHeight="1">
      <c r="A40" s="217" t="s">
        <v>132</v>
      </c>
      <c r="B40" s="218"/>
      <c r="C40" s="158">
        <f>SUM(C41:C43)</f>
        <v>82</v>
      </c>
      <c r="D40" s="62">
        <f>SUM(D41:D43)</f>
        <v>455</v>
      </c>
      <c r="E40" s="45">
        <f>SUM(E41:E43)</f>
        <v>537</v>
      </c>
      <c r="F40" s="45">
        <f>E52</f>
        <v>489</v>
      </c>
      <c r="G40" s="42" t="str">
        <f>A52</f>
        <v>Vest-Wood 1</v>
      </c>
      <c r="H40" s="62">
        <f>SUM(H41:H43)</f>
        <v>448</v>
      </c>
      <c r="I40" s="45">
        <f>SUM(I41:I43)</f>
        <v>530</v>
      </c>
      <c r="J40" s="45">
        <f>I48</f>
        <v>487</v>
      </c>
      <c r="K40" s="42" t="str">
        <f>A48</f>
        <v>A.E.J.</v>
      </c>
      <c r="L40" s="133">
        <f>SUM(L41:L43)</f>
        <v>461</v>
      </c>
      <c r="M40" s="49">
        <f>SUM(M41:M43)</f>
        <v>543</v>
      </c>
      <c r="N40" s="45">
        <f>M44</f>
        <v>466</v>
      </c>
      <c r="O40" s="42" t="str">
        <f>A44</f>
        <v>LAJOS 1</v>
      </c>
      <c r="P40" s="45">
        <f>SUM(P41:P43)</f>
        <v>477</v>
      </c>
      <c r="Q40" s="49">
        <f>SUM(Q41:Q43)</f>
        <v>559</v>
      </c>
      <c r="R40" s="45">
        <f>Q56</f>
        <v>551</v>
      </c>
      <c r="S40" s="42" t="str">
        <f>A56</f>
        <v>SADO</v>
      </c>
      <c r="T40" s="133">
        <f>SUM(T41:T43)</f>
        <v>521</v>
      </c>
      <c r="U40" s="49">
        <f>SUM(U41:U43)</f>
        <v>603</v>
      </c>
      <c r="V40" s="45">
        <f>U36</f>
        <v>550</v>
      </c>
      <c r="W40" s="42" t="str">
        <f>A36</f>
        <v>Holst/ Malmberg</v>
      </c>
      <c r="X40" s="36">
        <f t="shared" si="1"/>
        <v>2772</v>
      </c>
      <c r="Y40" s="105">
        <f>SUM(Y41:Y43)</f>
        <v>2362</v>
      </c>
      <c r="Z40" s="65">
        <f>AVERAGE(Z41,Z42,Z43)</f>
        <v>184.79999999999998</v>
      </c>
      <c r="AA40" s="142">
        <f>AVERAGE(AA41,AA42,AA43)</f>
        <v>157.46666666666667</v>
      </c>
      <c r="AB40" s="219">
        <f>F41+J41+N41+R41+V41</f>
        <v>5</v>
      </c>
    </row>
    <row r="41" spans="1:28" s="38" customFormat="1" ht="15.75" customHeight="1">
      <c r="A41" s="222" t="s">
        <v>117</v>
      </c>
      <c r="B41" s="223"/>
      <c r="C41" s="159">
        <v>32</v>
      </c>
      <c r="D41" s="59">
        <v>110</v>
      </c>
      <c r="E41" s="50">
        <f>D41+C41</f>
        <v>142</v>
      </c>
      <c r="F41" s="224">
        <v>1</v>
      </c>
      <c r="G41" s="225"/>
      <c r="H41" s="97">
        <v>83</v>
      </c>
      <c r="I41" s="46">
        <f>H41+C41</f>
        <v>115</v>
      </c>
      <c r="J41" s="224">
        <v>1</v>
      </c>
      <c r="K41" s="225"/>
      <c r="L41" s="97">
        <v>130</v>
      </c>
      <c r="M41" s="50">
        <f>L41+C41</f>
        <v>162</v>
      </c>
      <c r="N41" s="224">
        <v>1</v>
      </c>
      <c r="O41" s="225"/>
      <c r="P41" s="97">
        <v>188</v>
      </c>
      <c r="Q41" s="50">
        <f>P41+C41</f>
        <v>220</v>
      </c>
      <c r="R41" s="224">
        <v>1</v>
      </c>
      <c r="S41" s="225"/>
      <c r="T41" s="97">
        <v>179</v>
      </c>
      <c r="U41" s="50">
        <f>T41+C41</f>
        <v>211</v>
      </c>
      <c r="V41" s="224">
        <v>1</v>
      </c>
      <c r="W41" s="225"/>
      <c r="X41" s="46">
        <f t="shared" si="1"/>
        <v>850</v>
      </c>
      <c r="Y41" s="106">
        <f>D41+H41+L41+P41+T41</f>
        <v>690</v>
      </c>
      <c r="Z41" s="67">
        <f>AVERAGE(E41,I41,M41,Q41,U41)</f>
        <v>170</v>
      </c>
      <c r="AA41" s="143">
        <f>AVERAGE(E41,I41,M41,Q41,U41)-C41</f>
        <v>138</v>
      </c>
      <c r="AB41" s="220"/>
    </row>
    <row r="42" spans="1:28" s="38" customFormat="1" ht="15.75" customHeight="1">
      <c r="A42" s="222" t="s">
        <v>115</v>
      </c>
      <c r="B42" s="223"/>
      <c r="C42" s="159">
        <v>24</v>
      </c>
      <c r="D42" s="59">
        <v>187</v>
      </c>
      <c r="E42" s="50">
        <f>D42+C42</f>
        <v>211</v>
      </c>
      <c r="F42" s="226"/>
      <c r="G42" s="227"/>
      <c r="H42" s="98">
        <v>221</v>
      </c>
      <c r="I42" s="46">
        <f>H42+C42</f>
        <v>245</v>
      </c>
      <c r="J42" s="226"/>
      <c r="K42" s="227"/>
      <c r="L42" s="98">
        <v>147</v>
      </c>
      <c r="M42" s="50">
        <f>L42+C42</f>
        <v>171</v>
      </c>
      <c r="N42" s="226"/>
      <c r="O42" s="227"/>
      <c r="P42" s="98">
        <v>153</v>
      </c>
      <c r="Q42" s="50">
        <f>P42+C42</f>
        <v>177</v>
      </c>
      <c r="R42" s="226"/>
      <c r="S42" s="227"/>
      <c r="T42" s="98">
        <v>148</v>
      </c>
      <c r="U42" s="50">
        <f>T42+C42</f>
        <v>172</v>
      </c>
      <c r="V42" s="226"/>
      <c r="W42" s="227"/>
      <c r="X42" s="46">
        <f t="shared" si="1"/>
        <v>976</v>
      </c>
      <c r="Y42" s="106">
        <f>D42+H42+L42+P42+T42</f>
        <v>856</v>
      </c>
      <c r="Z42" s="67">
        <f>AVERAGE(E42,I42,M42,Q42,U42)</f>
        <v>195.2</v>
      </c>
      <c r="AA42" s="143">
        <f>AVERAGE(E42,I42,M42,Q42,U42)-C42</f>
        <v>171.2</v>
      </c>
      <c r="AB42" s="220"/>
    </row>
    <row r="43" spans="1:28" s="38" customFormat="1" ht="15.75" customHeight="1" thickBot="1">
      <c r="A43" s="229" t="s">
        <v>289</v>
      </c>
      <c r="B43" s="230"/>
      <c r="C43" s="160">
        <v>26</v>
      </c>
      <c r="D43" s="60">
        <v>158</v>
      </c>
      <c r="E43" s="50">
        <f>D43+C43</f>
        <v>184</v>
      </c>
      <c r="F43" s="204"/>
      <c r="G43" s="228"/>
      <c r="H43" s="99">
        <v>144</v>
      </c>
      <c r="I43" s="46">
        <f>H43+C43</f>
        <v>170</v>
      </c>
      <c r="J43" s="204"/>
      <c r="K43" s="228"/>
      <c r="L43" s="99">
        <v>184</v>
      </c>
      <c r="M43" s="50">
        <f>L43+C43</f>
        <v>210</v>
      </c>
      <c r="N43" s="204"/>
      <c r="O43" s="228"/>
      <c r="P43" s="99">
        <v>136</v>
      </c>
      <c r="Q43" s="50">
        <f>P43+C43</f>
        <v>162</v>
      </c>
      <c r="R43" s="204"/>
      <c r="S43" s="228"/>
      <c r="T43" s="99">
        <v>194</v>
      </c>
      <c r="U43" s="50">
        <f>T43+C43</f>
        <v>220</v>
      </c>
      <c r="V43" s="204"/>
      <c r="W43" s="228"/>
      <c r="X43" s="47">
        <f t="shared" si="1"/>
        <v>946</v>
      </c>
      <c r="Y43" s="107">
        <f>D43+H43+L43+P43+T43</f>
        <v>816</v>
      </c>
      <c r="Z43" s="68">
        <f>AVERAGE(E43,I43,M43,Q43,U43)</f>
        <v>189.2</v>
      </c>
      <c r="AA43" s="144">
        <f>AVERAGE(E43,I43,M43,Q43,U43)-C43</f>
        <v>163.2</v>
      </c>
      <c r="AB43" s="221"/>
    </row>
    <row r="44" spans="1:28" s="38" customFormat="1" ht="47.25" customHeight="1">
      <c r="A44" s="217" t="s">
        <v>14</v>
      </c>
      <c r="B44" s="218"/>
      <c r="C44" s="158">
        <f>SUM(C45:C47)</f>
        <v>161</v>
      </c>
      <c r="D44" s="62">
        <f>SUM(D45:D47)</f>
        <v>430</v>
      </c>
      <c r="E44" s="45">
        <f>SUM(E45:E47)</f>
        <v>591</v>
      </c>
      <c r="F44" s="45">
        <f>E48</f>
        <v>554</v>
      </c>
      <c r="G44" s="42" t="str">
        <f>A48</f>
        <v>A.E.J.</v>
      </c>
      <c r="H44" s="62">
        <f>SUM(H45:H47)</f>
        <v>380</v>
      </c>
      <c r="I44" s="45">
        <f>SUM(I45:I47)</f>
        <v>541</v>
      </c>
      <c r="J44" s="45">
        <f>I56</f>
        <v>562</v>
      </c>
      <c r="K44" s="42" t="str">
        <f>A56</f>
        <v>SADO</v>
      </c>
      <c r="L44" s="133">
        <f>SUM(L45:L47)</f>
        <v>305</v>
      </c>
      <c r="M44" s="69">
        <f>SUM(M45:M47)</f>
        <v>466</v>
      </c>
      <c r="N44" s="45">
        <f>M40</f>
        <v>543</v>
      </c>
      <c r="O44" s="42" t="str">
        <f>A40</f>
        <v>Isokuul</v>
      </c>
      <c r="P44" s="45">
        <f>SUM(P45:P47)</f>
        <v>347</v>
      </c>
      <c r="Q44" s="49">
        <f>SUM(Q45:Q47)</f>
        <v>508</v>
      </c>
      <c r="R44" s="45">
        <f>Q36</f>
        <v>536</v>
      </c>
      <c r="S44" s="42" t="str">
        <f>A36</f>
        <v>Holst/ Malmberg</v>
      </c>
      <c r="T44" s="133">
        <f>SUM(T45:T47)</f>
        <v>379</v>
      </c>
      <c r="U44" s="69">
        <f>SUM(U45:U47)</f>
        <v>540</v>
      </c>
      <c r="V44" s="45">
        <f>U52</f>
        <v>504</v>
      </c>
      <c r="W44" s="42" t="str">
        <f>A52</f>
        <v>Vest-Wood 1</v>
      </c>
      <c r="X44" s="36">
        <f t="shared" si="1"/>
        <v>2646</v>
      </c>
      <c r="Y44" s="105">
        <f>SUM(Y45:Y47)</f>
        <v>1841</v>
      </c>
      <c r="Z44" s="65">
        <f>AVERAGE(Z45,Z46,Z47)</f>
        <v>176.4</v>
      </c>
      <c r="AA44" s="142">
        <f>AVERAGE(AA45,AA46,AA47)</f>
        <v>122.73333333333335</v>
      </c>
      <c r="AB44" s="219">
        <f>F45+J45+N45+R45+V45</f>
        <v>2</v>
      </c>
    </row>
    <row r="45" spans="1:28" s="38" customFormat="1" ht="15.75" customHeight="1">
      <c r="A45" s="222" t="s">
        <v>55</v>
      </c>
      <c r="B45" s="223"/>
      <c r="C45" s="159">
        <v>58</v>
      </c>
      <c r="D45" s="59">
        <v>172</v>
      </c>
      <c r="E45" s="50">
        <f>D45+C45</f>
        <v>230</v>
      </c>
      <c r="F45" s="224">
        <v>1</v>
      </c>
      <c r="G45" s="225"/>
      <c r="H45" s="97">
        <v>124</v>
      </c>
      <c r="I45" s="46">
        <f>H45+C45</f>
        <v>182</v>
      </c>
      <c r="J45" s="224">
        <v>0</v>
      </c>
      <c r="K45" s="225"/>
      <c r="L45" s="97">
        <v>90</v>
      </c>
      <c r="M45" s="50">
        <f>L45+C45</f>
        <v>148</v>
      </c>
      <c r="N45" s="224">
        <v>0</v>
      </c>
      <c r="O45" s="225"/>
      <c r="P45" s="97">
        <v>115</v>
      </c>
      <c r="Q45" s="50">
        <f>P45+C45</f>
        <v>173</v>
      </c>
      <c r="R45" s="224">
        <v>0</v>
      </c>
      <c r="S45" s="225"/>
      <c r="T45" s="97">
        <v>143</v>
      </c>
      <c r="U45" s="50">
        <f>T45+C45</f>
        <v>201</v>
      </c>
      <c r="V45" s="224">
        <v>1</v>
      </c>
      <c r="W45" s="225"/>
      <c r="X45" s="46">
        <f t="shared" si="1"/>
        <v>934</v>
      </c>
      <c r="Y45" s="106">
        <f>D45+H45+L45+P45+T45</f>
        <v>644</v>
      </c>
      <c r="Z45" s="67">
        <f>AVERAGE(E45,I45,M45,Q45,U45)</f>
        <v>186.8</v>
      </c>
      <c r="AA45" s="143">
        <f>AVERAGE(E45,I45,M45,Q45,U45)-C45</f>
        <v>128.8</v>
      </c>
      <c r="AB45" s="220"/>
    </row>
    <row r="46" spans="1:28" s="38" customFormat="1" ht="15.75" customHeight="1">
      <c r="A46" s="222" t="s">
        <v>309</v>
      </c>
      <c r="B46" s="223"/>
      <c r="C46" s="159">
        <v>60</v>
      </c>
      <c r="D46" s="59">
        <v>131</v>
      </c>
      <c r="E46" s="50">
        <f>D46+C46</f>
        <v>191</v>
      </c>
      <c r="F46" s="226"/>
      <c r="G46" s="227"/>
      <c r="H46" s="98">
        <v>117</v>
      </c>
      <c r="I46" s="46">
        <f>H46+C46</f>
        <v>177</v>
      </c>
      <c r="J46" s="226"/>
      <c r="K46" s="227"/>
      <c r="L46" s="98">
        <v>86</v>
      </c>
      <c r="M46" s="50">
        <f>L46+C46</f>
        <v>146</v>
      </c>
      <c r="N46" s="226"/>
      <c r="O46" s="227"/>
      <c r="P46" s="98">
        <v>99</v>
      </c>
      <c r="Q46" s="50">
        <f>P46+C46</f>
        <v>159</v>
      </c>
      <c r="R46" s="226"/>
      <c r="S46" s="227"/>
      <c r="T46" s="98">
        <v>102</v>
      </c>
      <c r="U46" s="50">
        <f>T46+C46</f>
        <v>162</v>
      </c>
      <c r="V46" s="226"/>
      <c r="W46" s="227"/>
      <c r="X46" s="46">
        <f t="shared" si="1"/>
        <v>835</v>
      </c>
      <c r="Y46" s="106">
        <f>D46+H46+L46+P46+T46</f>
        <v>535</v>
      </c>
      <c r="Z46" s="67">
        <f>AVERAGE(E46,I46,M46,Q46,U46)</f>
        <v>167</v>
      </c>
      <c r="AA46" s="143">
        <f>AVERAGE(E46,I46,M46,Q46,U46)-C46</f>
        <v>107</v>
      </c>
      <c r="AB46" s="220"/>
    </row>
    <row r="47" spans="1:28" s="38" customFormat="1" ht="15.75" customHeight="1" thickBot="1">
      <c r="A47" s="229" t="s">
        <v>54</v>
      </c>
      <c r="B47" s="230"/>
      <c r="C47" s="160">
        <v>43</v>
      </c>
      <c r="D47" s="60">
        <v>127</v>
      </c>
      <c r="E47" s="50">
        <f>D47+C47</f>
        <v>170</v>
      </c>
      <c r="F47" s="204"/>
      <c r="G47" s="228"/>
      <c r="H47" s="99">
        <v>139</v>
      </c>
      <c r="I47" s="46">
        <f>H47+C47</f>
        <v>182</v>
      </c>
      <c r="J47" s="204"/>
      <c r="K47" s="228"/>
      <c r="L47" s="99">
        <v>129</v>
      </c>
      <c r="M47" s="50">
        <f>L47+C47</f>
        <v>172</v>
      </c>
      <c r="N47" s="204"/>
      <c r="O47" s="228"/>
      <c r="P47" s="99">
        <v>133</v>
      </c>
      <c r="Q47" s="50">
        <f>P47+C47</f>
        <v>176</v>
      </c>
      <c r="R47" s="204"/>
      <c r="S47" s="228"/>
      <c r="T47" s="99">
        <v>134</v>
      </c>
      <c r="U47" s="50">
        <f>T47+C47</f>
        <v>177</v>
      </c>
      <c r="V47" s="204"/>
      <c r="W47" s="228"/>
      <c r="X47" s="47">
        <f t="shared" si="1"/>
        <v>877</v>
      </c>
      <c r="Y47" s="107">
        <f>D47+H47+L47+P47+T47</f>
        <v>662</v>
      </c>
      <c r="Z47" s="68">
        <f>AVERAGE(E47,I47,M47,Q47,U47)</f>
        <v>175.4</v>
      </c>
      <c r="AA47" s="144">
        <f>AVERAGE(E47,I47,M47,Q47,U47)-C47</f>
        <v>132.4</v>
      </c>
      <c r="AB47" s="221"/>
    </row>
    <row r="48" spans="1:28" s="38" customFormat="1" ht="39" customHeight="1">
      <c r="A48" s="217" t="s">
        <v>172</v>
      </c>
      <c r="B48" s="218"/>
      <c r="C48" s="158">
        <f>SUM(C49:C51)</f>
        <v>63</v>
      </c>
      <c r="D48" s="62">
        <f>SUM(D49:D51)</f>
        <v>491</v>
      </c>
      <c r="E48" s="45">
        <f>SUM(E49:E51)</f>
        <v>554</v>
      </c>
      <c r="F48" s="45">
        <f>E44</f>
        <v>591</v>
      </c>
      <c r="G48" s="42" t="str">
        <f>A44</f>
        <v>LAJOS 1</v>
      </c>
      <c r="H48" s="62">
        <f>SUM(H49:H51)</f>
        <v>424</v>
      </c>
      <c r="I48" s="45">
        <f>SUM(I49:I51)</f>
        <v>487</v>
      </c>
      <c r="J48" s="45">
        <f>I40</f>
        <v>530</v>
      </c>
      <c r="K48" s="42" t="str">
        <f>A40</f>
        <v>Isokuul</v>
      </c>
      <c r="L48" s="133">
        <f>SUM(L49:L51)</f>
        <v>414</v>
      </c>
      <c r="M48" s="49">
        <f>SUM(M49:M51)</f>
        <v>477</v>
      </c>
      <c r="N48" s="45">
        <f>M36</f>
        <v>513</v>
      </c>
      <c r="O48" s="42" t="str">
        <f>A36</f>
        <v>Holst/ Malmberg</v>
      </c>
      <c r="P48" s="45">
        <f>SUM(P49:P51)</f>
        <v>496</v>
      </c>
      <c r="Q48" s="49">
        <f>SUM(Q49:Q51)</f>
        <v>559</v>
      </c>
      <c r="R48" s="45">
        <f>Q52</f>
        <v>558</v>
      </c>
      <c r="S48" s="42" t="str">
        <f>A52</f>
        <v>Vest-Wood 1</v>
      </c>
      <c r="T48" s="133">
        <f>SUM(T49:T51)</f>
        <v>467</v>
      </c>
      <c r="U48" s="49">
        <f>SUM(U49:U51)</f>
        <v>530</v>
      </c>
      <c r="V48" s="45">
        <f>U56</f>
        <v>572</v>
      </c>
      <c r="W48" s="42" t="str">
        <f>A56</f>
        <v>SADO</v>
      </c>
      <c r="X48" s="36">
        <f t="shared" si="1"/>
        <v>2607</v>
      </c>
      <c r="Y48" s="105">
        <f>SUM(Y49:Y51)</f>
        <v>2292</v>
      </c>
      <c r="Z48" s="65">
        <f>AVERAGE(Z49,Z50,Z51)</f>
        <v>173.79999999999998</v>
      </c>
      <c r="AA48" s="142">
        <f>AVERAGE(AA49,AA50,AA51)</f>
        <v>152.79999999999998</v>
      </c>
      <c r="AB48" s="219">
        <f>F49+J49+N49+R49+V49</f>
        <v>1</v>
      </c>
    </row>
    <row r="49" spans="1:28" s="38" customFormat="1" ht="15.75" customHeight="1">
      <c r="A49" s="222" t="s">
        <v>185</v>
      </c>
      <c r="B49" s="223"/>
      <c r="C49" s="159">
        <v>20</v>
      </c>
      <c r="D49" s="59">
        <v>189</v>
      </c>
      <c r="E49" s="50">
        <f>D49+C49</f>
        <v>209</v>
      </c>
      <c r="F49" s="224">
        <v>0</v>
      </c>
      <c r="G49" s="225"/>
      <c r="H49" s="97">
        <v>158</v>
      </c>
      <c r="I49" s="46">
        <f>H49+C49</f>
        <v>178</v>
      </c>
      <c r="J49" s="224">
        <v>0</v>
      </c>
      <c r="K49" s="225"/>
      <c r="L49" s="97">
        <v>153</v>
      </c>
      <c r="M49" s="50">
        <f>L49+C49</f>
        <v>173</v>
      </c>
      <c r="N49" s="224">
        <v>0</v>
      </c>
      <c r="O49" s="225"/>
      <c r="P49" s="97">
        <v>199</v>
      </c>
      <c r="Q49" s="50">
        <f>P49+C49</f>
        <v>219</v>
      </c>
      <c r="R49" s="224">
        <v>1</v>
      </c>
      <c r="S49" s="225"/>
      <c r="T49" s="97">
        <v>174</v>
      </c>
      <c r="U49" s="50">
        <f>T49+C49</f>
        <v>194</v>
      </c>
      <c r="V49" s="224">
        <v>0</v>
      </c>
      <c r="W49" s="225"/>
      <c r="X49" s="46">
        <f t="shared" si="1"/>
        <v>973</v>
      </c>
      <c r="Y49" s="106">
        <f>D49+H49+L49+P49+T49</f>
        <v>873</v>
      </c>
      <c r="Z49" s="67">
        <f>AVERAGE(E49,I49,M49,Q49,U49)</f>
        <v>194.6</v>
      </c>
      <c r="AA49" s="143">
        <f>AVERAGE(E49,I49,M49,Q49,U49)-C49</f>
        <v>174.6</v>
      </c>
      <c r="AB49" s="220"/>
    </row>
    <row r="50" spans="1:28" s="38" customFormat="1" ht="15.75" customHeight="1">
      <c r="A50" s="222" t="s">
        <v>187</v>
      </c>
      <c r="B50" s="223"/>
      <c r="C50" s="159">
        <v>23</v>
      </c>
      <c r="D50" s="59">
        <v>161</v>
      </c>
      <c r="E50" s="50">
        <f>D50+C50</f>
        <v>184</v>
      </c>
      <c r="F50" s="226"/>
      <c r="G50" s="227"/>
      <c r="H50" s="98">
        <v>153</v>
      </c>
      <c r="I50" s="46">
        <f>H50+C50</f>
        <v>176</v>
      </c>
      <c r="J50" s="226"/>
      <c r="K50" s="227"/>
      <c r="L50" s="98">
        <v>139</v>
      </c>
      <c r="M50" s="50">
        <f>L50+C50</f>
        <v>162</v>
      </c>
      <c r="N50" s="226"/>
      <c r="O50" s="227"/>
      <c r="P50" s="98">
        <v>165</v>
      </c>
      <c r="Q50" s="50">
        <f>P50+C50</f>
        <v>188</v>
      </c>
      <c r="R50" s="226"/>
      <c r="S50" s="227"/>
      <c r="T50" s="98">
        <v>183</v>
      </c>
      <c r="U50" s="50">
        <f>T50+C50</f>
        <v>206</v>
      </c>
      <c r="V50" s="226"/>
      <c r="W50" s="227"/>
      <c r="X50" s="46">
        <f t="shared" si="1"/>
        <v>916</v>
      </c>
      <c r="Y50" s="106">
        <f>D50+H50+L50+P50+T50</f>
        <v>801</v>
      </c>
      <c r="Z50" s="67">
        <f>AVERAGE(E50,I50,M50,Q50,U50)</f>
        <v>183.2</v>
      </c>
      <c r="AA50" s="143">
        <f>AVERAGE(E50,I50,M50,Q50,U50)-C50</f>
        <v>160.2</v>
      </c>
      <c r="AB50" s="220"/>
    </row>
    <row r="51" spans="1:29" s="38" customFormat="1" ht="15.75" customHeight="1" thickBot="1">
      <c r="A51" s="229" t="s">
        <v>186</v>
      </c>
      <c r="B51" s="230"/>
      <c r="C51" s="160">
        <v>20</v>
      </c>
      <c r="D51" s="60">
        <v>141</v>
      </c>
      <c r="E51" s="50">
        <f>D51+C51</f>
        <v>161</v>
      </c>
      <c r="F51" s="204"/>
      <c r="G51" s="228"/>
      <c r="H51" s="99">
        <v>113</v>
      </c>
      <c r="I51" s="46">
        <f>H51+C51</f>
        <v>133</v>
      </c>
      <c r="J51" s="204"/>
      <c r="K51" s="228"/>
      <c r="L51" s="99">
        <v>122</v>
      </c>
      <c r="M51" s="50">
        <f>L51+C51</f>
        <v>142</v>
      </c>
      <c r="N51" s="204"/>
      <c r="O51" s="228"/>
      <c r="P51" s="99">
        <v>132</v>
      </c>
      <c r="Q51" s="50">
        <f>P51+C51</f>
        <v>152</v>
      </c>
      <c r="R51" s="204"/>
      <c r="S51" s="228"/>
      <c r="T51" s="99">
        <v>110</v>
      </c>
      <c r="U51" s="50">
        <f>T51+C51</f>
        <v>130</v>
      </c>
      <c r="V51" s="204"/>
      <c r="W51" s="228"/>
      <c r="X51" s="47">
        <f t="shared" si="1"/>
        <v>718</v>
      </c>
      <c r="Y51" s="107">
        <f>D51+H51+L51+P51+T51</f>
        <v>618</v>
      </c>
      <c r="Z51" s="68">
        <f>AVERAGE(E51,I51,M51,Q51,U51)</f>
        <v>143.6</v>
      </c>
      <c r="AA51" s="144">
        <f>AVERAGE(E51,I51,M51,Q51,U51)-C51</f>
        <v>123.6</v>
      </c>
      <c r="AB51" s="221"/>
      <c r="AC51" s="44"/>
    </row>
    <row r="52" spans="1:28" s="38" customFormat="1" ht="40.5" customHeight="1">
      <c r="A52" s="217" t="s">
        <v>173</v>
      </c>
      <c r="B52" s="218"/>
      <c r="C52" s="158">
        <f>SUM(C53:C55)</f>
        <v>84</v>
      </c>
      <c r="D52" s="62">
        <f>SUM(D53:D55)</f>
        <v>405</v>
      </c>
      <c r="E52" s="45">
        <f>SUM(E53:E55)</f>
        <v>489</v>
      </c>
      <c r="F52" s="45">
        <f>E40</f>
        <v>537</v>
      </c>
      <c r="G52" s="42" t="str">
        <f>A40</f>
        <v>Isokuul</v>
      </c>
      <c r="H52" s="62">
        <f>SUM(H53:H55)</f>
        <v>443</v>
      </c>
      <c r="I52" s="45">
        <f>SUM(I53:I55)</f>
        <v>527</v>
      </c>
      <c r="J52" s="45">
        <f>I36</f>
        <v>496</v>
      </c>
      <c r="K52" s="42" t="str">
        <f>A36</f>
        <v>Holst/ Malmberg</v>
      </c>
      <c r="L52" s="133">
        <f>SUM(L53:L55)</f>
        <v>470</v>
      </c>
      <c r="M52" s="69">
        <f>SUM(M53:M55)</f>
        <v>554</v>
      </c>
      <c r="N52" s="45">
        <f>M56</f>
        <v>569</v>
      </c>
      <c r="O52" s="42" t="str">
        <f>A56</f>
        <v>SADO</v>
      </c>
      <c r="P52" s="45">
        <f>SUM(P53:P55)</f>
        <v>474</v>
      </c>
      <c r="Q52" s="69">
        <f>SUM(Q53:Q55)</f>
        <v>558</v>
      </c>
      <c r="R52" s="45">
        <f>Q48</f>
        <v>559</v>
      </c>
      <c r="S52" s="42" t="str">
        <f>A48</f>
        <v>A.E.J.</v>
      </c>
      <c r="T52" s="133">
        <f>SUM(T53:T55)</f>
        <v>420</v>
      </c>
      <c r="U52" s="69">
        <f>SUM(U53:U55)</f>
        <v>504</v>
      </c>
      <c r="V52" s="45">
        <f>U44</f>
        <v>540</v>
      </c>
      <c r="W52" s="42" t="str">
        <f>A44</f>
        <v>LAJOS 1</v>
      </c>
      <c r="X52" s="36">
        <f t="shared" si="1"/>
        <v>2632</v>
      </c>
      <c r="Y52" s="105">
        <f>SUM(Y53:Y55)</f>
        <v>2212</v>
      </c>
      <c r="Z52" s="65">
        <f>AVERAGE(Z53,Z54,Z55)</f>
        <v>175.46666666666667</v>
      </c>
      <c r="AA52" s="142">
        <f>AVERAGE(AA53,AA54,AA55)</f>
        <v>147.46666666666667</v>
      </c>
      <c r="AB52" s="219">
        <f>F53+J53+N53+R53+V53</f>
        <v>1</v>
      </c>
    </row>
    <row r="53" spans="1:28" s="38" customFormat="1" ht="15.75" customHeight="1">
      <c r="A53" s="222" t="s">
        <v>188</v>
      </c>
      <c r="B53" s="223"/>
      <c r="C53" s="159">
        <v>46</v>
      </c>
      <c r="D53" s="59">
        <v>123</v>
      </c>
      <c r="E53" s="50">
        <f>D53+C53</f>
        <v>169</v>
      </c>
      <c r="F53" s="224">
        <v>0</v>
      </c>
      <c r="G53" s="225"/>
      <c r="H53" s="97">
        <v>103</v>
      </c>
      <c r="I53" s="46">
        <f>H53+C53</f>
        <v>149</v>
      </c>
      <c r="J53" s="224">
        <v>1</v>
      </c>
      <c r="K53" s="225"/>
      <c r="L53" s="97">
        <v>126</v>
      </c>
      <c r="M53" s="50">
        <f>L53+C53</f>
        <v>172</v>
      </c>
      <c r="N53" s="224">
        <v>0</v>
      </c>
      <c r="O53" s="225"/>
      <c r="P53" s="97">
        <v>126</v>
      </c>
      <c r="Q53" s="50">
        <f>P53+C53</f>
        <v>172</v>
      </c>
      <c r="R53" s="224">
        <v>0</v>
      </c>
      <c r="S53" s="225"/>
      <c r="T53" s="97">
        <v>100</v>
      </c>
      <c r="U53" s="50">
        <f>T53+C53</f>
        <v>146</v>
      </c>
      <c r="V53" s="224">
        <v>0</v>
      </c>
      <c r="W53" s="225"/>
      <c r="X53" s="46">
        <f t="shared" si="1"/>
        <v>808</v>
      </c>
      <c r="Y53" s="106">
        <f>D53+H53+L53+P53+T53</f>
        <v>578</v>
      </c>
      <c r="Z53" s="67">
        <f>AVERAGE(E53,I53,M53,Q53,U53)</f>
        <v>161.6</v>
      </c>
      <c r="AA53" s="143">
        <f>AVERAGE(E53,I53,M53,Q53,U53)-C53</f>
        <v>115.6</v>
      </c>
      <c r="AB53" s="220"/>
    </row>
    <row r="54" spans="1:28" s="38" customFormat="1" ht="15.75" customHeight="1">
      <c r="A54" s="222" t="s">
        <v>190</v>
      </c>
      <c r="B54" s="223"/>
      <c r="C54" s="159">
        <v>16</v>
      </c>
      <c r="D54" s="59">
        <v>145</v>
      </c>
      <c r="E54" s="50">
        <f>D54+C54</f>
        <v>161</v>
      </c>
      <c r="F54" s="226"/>
      <c r="G54" s="227"/>
      <c r="H54" s="98">
        <v>195</v>
      </c>
      <c r="I54" s="46">
        <f>H54+C54</f>
        <v>211</v>
      </c>
      <c r="J54" s="226"/>
      <c r="K54" s="227"/>
      <c r="L54" s="98">
        <v>168</v>
      </c>
      <c r="M54" s="50">
        <f>L54+C54</f>
        <v>184</v>
      </c>
      <c r="N54" s="226"/>
      <c r="O54" s="227"/>
      <c r="P54" s="98">
        <v>171</v>
      </c>
      <c r="Q54" s="50">
        <f>P54+C54</f>
        <v>187</v>
      </c>
      <c r="R54" s="226"/>
      <c r="S54" s="227"/>
      <c r="T54" s="98">
        <v>164</v>
      </c>
      <c r="U54" s="50">
        <f>T54+C54</f>
        <v>180</v>
      </c>
      <c r="V54" s="226"/>
      <c r="W54" s="227"/>
      <c r="X54" s="46">
        <f t="shared" si="1"/>
        <v>923</v>
      </c>
      <c r="Y54" s="106">
        <f>D54+H54+L54+P54+T54</f>
        <v>843</v>
      </c>
      <c r="Z54" s="67">
        <f>AVERAGE(E54,I54,M54,Q54,U54)</f>
        <v>184.6</v>
      </c>
      <c r="AA54" s="143">
        <f>AVERAGE(E54,I54,M54,Q54,U54)-C54</f>
        <v>168.6</v>
      </c>
      <c r="AB54" s="220"/>
    </row>
    <row r="55" spans="1:28" s="38" customFormat="1" ht="15.75" customHeight="1" thickBot="1">
      <c r="A55" s="229" t="s">
        <v>279</v>
      </c>
      <c r="B55" s="230"/>
      <c r="C55" s="160">
        <v>22</v>
      </c>
      <c r="D55" s="60">
        <v>137</v>
      </c>
      <c r="E55" s="50">
        <f>D55+C55</f>
        <v>159</v>
      </c>
      <c r="F55" s="204"/>
      <c r="G55" s="228"/>
      <c r="H55" s="99">
        <v>145</v>
      </c>
      <c r="I55" s="46">
        <f>H55+C55</f>
        <v>167</v>
      </c>
      <c r="J55" s="204"/>
      <c r="K55" s="228"/>
      <c r="L55" s="99">
        <v>176</v>
      </c>
      <c r="M55" s="50">
        <f>L55+C55</f>
        <v>198</v>
      </c>
      <c r="N55" s="204"/>
      <c r="O55" s="228"/>
      <c r="P55" s="99">
        <v>177</v>
      </c>
      <c r="Q55" s="50">
        <f>P55+C55</f>
        <v>199</v>
      </c>
      <c r="R55" s="204"/>
      <c r="S55" s="228"/>
      <c r="T55" s="99">
        <v>156</v>
      </c>
      <c r="U55" s="50">
        <f>T55+C55</f>
        <v>178</v>
      </c>
      <c r="V55" s="204"/>
      <c r="W55" s="228"/>
      <c r="X55" s="47">
        <f t="shared" si="1"/>
        <v>901</v>
      </c>
      <c r="Y55" s="107">
        <f>D55+H55+L55+P55+T55</f>
        <v>791</v>
      </c>
      <c r="Z55" s="68">
        <f>AVERAGE(E55,I55,M55,Q55,U55)</f>
        <v>180.2</v>
      </c>
      <c r="AA55" s="144">
        <f>AVERAGE(E55,I55,M55,Q55,U55)-C55</f>
        <v>158.2</v>
      </c>
      <c r="AB55" s="221"/>
    </row>
    <row r="56" spans="1:28" s="38" customFormat="1" ht="42" customHeight="1">
      <c r="A56" s="217" t="s">
        <v>76</v>
      </c>
      <c r="B56" s="218"/>
      <c r="C56" s="158">
        <f>SUM(C57:C59)</f>
        <v>110</v>
      </c>
      <c r="D56" s="62">
        <f>SUM(D57:D59)</f>
        <v>441</v>
      </c>
      <c r="E56" s="45">
        <f>SUM(E57:E59)</f>
        <v>551</v>
      </c>
      <c r="F56" s="45">
        <f>E36</f>
        <v>562</v>
      </c>
      <c r="G56" s="42" t="str">
        <f>A36</f>
        <v>Holst/ Malmberg</v>
      </c>
      <c r="H56" s="62">
        <f>SUM(H57:H59)</f>
        <v>452</v>
      </c>
      <c r="I56" s="45">
        <f>SUM(I57:I59)</f>
        <v>562</v>
      </c>
      <c r="J56" s="45">
        <f>I44</f>
        <v>541</v>
      </c>
      <c r="K56" s="42" t="str">
        <f>A44</f>
        <v>LAJOS 1</v>
      </c>
      <c r="L56" s="133">
        <f>SUM(L57:L59)</f>
        <v>459</v>
      </c>
      <c r="M56" s="49">
        <f>SUM(M57:M59)</f>
        <v>569</v>
      </c>
      <c r="N56" s="45">
        <f>M52</f>
        <v>554</v>
      </c>
      <c r="O56" s="42" t="str">
        <f>A52</f>
        <v>Vest-Wood 1</v>
      </c>
      <c r="P56" s="45">
        <f>SUM(P57:P59)</f>
        <v>441</v>
      </c>
      <c r="Q56" s="49">
        <f>SUM(Q57:Q59)</f>
        <v>551</v>
      </c>
      <c r="R56" s="45">
        <f>Q40</f>
        <v>559</v>
      </c>
      <c r="S56" s="42" t="str">
        <f>A40</f>
        <v>Isokuul</v>
      </c>
      <c r="T56" s="133">
        <f>SUM(T57:T59)</f>
        <v>462</v>
      </c>
      <c r="U56" s="49">
        <f>SUM(U57:U59)</f>
        <v>572</v>
      </c>
      <c r="V56" s="45">
        <f>U48</f>
        <v>530</v>
      </c>
      <c r="W56" s="42" t="str">
        <f>A48</f>
        <v>A.E.J.</v>
      </c>
      <c r="X56" s="36">
        <f t="shared" si="1"/>
        <v>2805</v>
      </c>
      <c r="Y56" s="105">
        <f>SUM(Y57:Y59)</f>
        <v>2255</v>
      </c>
      <c r="Z56" s="65">
        <f>AVERAGE(Z57,Z58,Z59)</f>
        <v>187</v>
      </c>
      <c r="AA56" s="142">
        <f>AVERAGE(AA57,AA58,AA59)</f>
        <v>150.33333333333334</v>
      </c>
      <c r="AB56" s="219">
        <f>F57+J57+N57+R57+V57</f>
        <v>3</v>
      </c>
    </row>
    <row r="57" spans="1:28" s="38" customFormat="1" ht="15.75" customHeight="1">
      <c r="A57" s="222" t="s">
        <v>90</v>
      </c>
      <c r="B57" s="223"/>
      <c r="C57" s="159">
        <v>42</v>
      </c>
      <c r="D57" s="59">
        <v>151</v>
      </c>
      <c r="E57" s="50">
        <f>D57+C57</f>
        <v>193</v>
      </c>
      <c r="F57" s="224">
        <v>0</v>
      </c>
      <c r="G57" s="225"/>
      <c r="H57" s="97">
        <v>140</v>
      </c>
      <c r="I57" s="46">
        <f>H57+C57</f>
        <v>182</v>
      </c>
      <c r="J57" s="224">
        <v>1</v>
      </c>
      <c r="K57" s="225"/>
      <c r="L57" s="97">
        <v>152</v>
      </c>
      <c r="M57" s="50">
        <f>L57+C57</f>
        <v>194</v>
      </c>
      <c r="N57" s="224">
        <v>1</v>
      </c>
      <c r="O57" s="225"/>
      <c r="P57" s="97">
        <v>158</v>
      </c>
      <c r="Q57" s="50">
        <f>P57+C57</f>
        <v>200</v>
      </c>
      <c r="R57" s="224">
        <v>0</v>
      </c>
      <c r="S57" s="225"/>
      <c r="T57" s="97">
        <v>138</v>
      </c>
      <c r="U57" s="50">
        <f>T57+C57</f>
        <v>180</v>
      </c>
      <c r="V57" s="224">
        <v>1</v>
      </c>
      <c r="W57" s="225"/>
      <c r="X57" s="46">
        <f t="shared" si="1"/>
        <v>949</v>
      </c>
      <c r="Y57" s="106">
        <f>D57+H57+L57+P57+T57</f>
        <v>739</v>
      </c>
      <c r="Z57" s="67">
        <f>AVERAGE(E57,I57,M57,Q57,U57)</f>
        <v>189.8</v>
      </c>
      <c r="AA57" s="143">
        <f>AVERAGE(E57,I57,M57,Q57,U57)-C57</f>
        <v>147.8</v>
      </c>
      <c r="AB57" s="220"/>
    </row>
    <row r="58" spans="1:28" s="38" customFormat="1" ht="15.75" customHeight="1">
      <c r="A58" s="222" t="s">
        <v>98</v>
      </c>
      <c r="B58" s="223"/>
      <c r="C58" s="159">
        <v>48</v>
      </c>
      <c r="D58" s="59">
        <v>118</v>
      </c>
      <c r="E58" s="50">
        <f>D58+C58</f>
        <v>166</v>
      </c>
      <c r="F58" s="226"/>
      <c r="G58" s="227"/>
      <c r="H58" s="98">
        <v>143</v>
      </c>
      <c r="I58" s="46">
        <f>H58+C58</f>
        <v>191</v>
      </c>
      <c r="J58" s="226"/>
      <c r="K58" s="227"/>
      <c r="L58" s="98">
        <v>135</v>
      </c>
      <c r="M58" s="50">
        <f>L58+C58</f>
        <v>183</v>
      </c>
      <c r="N58" s="226"/>
      <c r="O58" s="227"/>
      <c r="P58" s="98">
        <v>105</v>
      </c>
      <c r="Q58" s="50">
        <f>P58+C58</f>
        <v>153</v>
      </c>
      <c r="R58" s="226"/>
      <c r="S58" s="227"/>
      <c r="T58" s="98">
        <v>155</v>
      </c>
      <c r="U58" s="50">
        <f>T58+C58</f>
        <v>203</v>
      </c>
      <c r="V58" s="226"/>
      <c r="W58" s="227"/>
      <c r="X58" s="46">
        <f t="shared" si="1"/>
        <v>896</v>
      </c>
      <c r="Y58" s="106">
        <f>D58+H58+L58+P58+T58</f>
        <v>656</v>
      </c>
      <c r="Z58" s="67">
        <f>AVERAGE(E58,I58,M58,Q58,U58)</f>
        <v>179.2</v>
      </c>
      <c r="AA58" s="143">
        <f>AVERAGE(E58,I58,M58,Q58,U58)-C58</f>
        <v>131.2</v>
      </c>
      <c r="AB58" s="220"/>
    </row>
    <row r="59" spans="1:28" s="38" customFormat="1" ht="15.75" customHeight="1" thickBot="1">
      <c r="A59" s="229" t="s">
        <v>91</v>
      </c>
      <c r="B59" s="230"/>
      <c r="C59" s="160">
        <v>20</v>
      </c>
      <c r="D59" s="60">
        <v>172</v>
      </c>
      <c r="E59" s="50">
        <f>D59+C59</f>
        <v>192</v>
      </c>
      <c r="F59" s="204"/>
      <c r="G59" s="228"/>
      <c r="H59" s="99">
        <v>169</v>
      </c>
      <c r="I59" s="46">
        <f>H59+C59</f>
        <v>189</v>
      </c>
      <c r="J59" s="204"/>
      <c r="K59" s="228"/>
      <c r="L59" s="99">
        <v>172</v>
      </c>
      <c r="M59" s="50">
        <f>L59+C59</f>
        <v>192</v>
      </c>
      <c r="N59" s="204"/>
      <c r="O59" s="228"/>
      <c r="P59" s="99">
        <v>178</v>
      </c>
      <c r="Q59" s="50">
        <f>P59+C59</f>
        <v>198</v>
      </c>
      <c r="R59" s="204"/>
      <c r="S59" s="228"/>
      <c r="T59" s="99">
        <v>169</v>
      </c>
      <c r="U59" s="50">
        <f>T59+C59</f>
        <v>189</v>
      </c>
      <c r="V59" s="204"/>
      <c r="W59" s="228"/>
      <c r="X59" s="47">
        <f t="shared" si="1"/>
        <v>960</v>
      </c>
      <c r="Y59" s="107">
        <f>D59+H59+L59+P59+T59</f>
        <v>860</v>
      </c>
      <c r="Z59" s="68">
        <f>AVERAGE(E59,I59,M59,Q59,U59)</f>
        <v>192</v>
      </c>
      <c r="AA59" s="144">
        <f>AVERAGE(E59,I59,M59,Q59,U59)-C59</f>
        <v>172</v>
      </c>
      <c r="AB59" s="221"/>
    </row>
    <row r="60" ht="12.75" customHeight="1"/>
    <row r="61" ht="16.5" hidden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7.25" customHeight="1" hidden="1"/>
    <row r="71" spans="1:28" s="40" customFormat="1" ht="17.25" customHeight="1">
      <c r="A71" s="207" t="s">
        <v>305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4"/>
      <c r="W71" s="25"/>
      <c r="Y71" s="57"/>
      <c r="Z71" s="41"/>
      <c r="AA71" s="139"/>
      <c r="AB71" s="25"/>
    </row>
    <row r="72" spans="1:28" s="40" customFormat="1" ht="17.25" customHeigh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4"/>
      <c r="W72" s="25"/>
      <c r="Y72" s="57"/>
      <c r="Z72" s="41"/>
      <c r="AA72" s="139"/>
      <c r="AB72" s="25"/>
    </row>
    <row r="73" spans="1:28" s="40" customFormat="1" ht="23.25" customHeigh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5"/>
      <c r="W73" s="25"/>
      <c r="Y73" s="57"/>
      <c r="Z73" s="41"/>
      <c r="AA73" s="139"/>
      <c r="AB73" s="25"/>
    </row>
    <row r="74" spans="1:28" s="31" customFormat="1" ht="15.75" customHeight="1">
      <c r="A74" s="209" t="s">
        <v>0</v>
      </c>
      <c r="B74" s="210"/>
      <c r="C74" s="156" t="s">
        <v>39</v>
      </c>
      <c r="D74" s="55"/>
      <c r="E74" s="27" t="s">
        <v>1</v>
      </c>
      <c r="F74" s="211" t="s">
        <v>2</v>
      </c>
      <c r="G74" s="212"/>
      <c r="H74" s="94"/>
      <c r="I74" s="27" t="s">
        <v>3</v>
      </c>
      <c r="J74" s="211" t="s">
        <v>2</v>
      </c>
      <c r="K74" s="212"/>
      <c r="L74" s="94"/>
      <c r="M74" s="27" t="s">
        <v>4</v>
      </c>
      <c r="N74" s="211" t="s">
        <v>2</v>
      </c>
      <c r="O74" s="212"/>
      <c r="P74" s="94"/>
      <c r="Q74" s="27" t="s">
        <v>5</v>
      </c>
      <c r="R74" s="211" t="s">
        <v>2</v>
      </c>
      <c r="S74" s="212"/>
      <c r="T74" s="94"/>
      <c r="U74" s="27" t="s">
        <v>6</v>
      </c>
      <c r="V74" s="211" t="s">
        <v>2</v>
      </c>
      <c r="W74" s="212"/>
      <c r="X74" s="28" t="s">
        <v>7</v>
      </c>
      <c r="Y74" s="104"/>
      <c r="Z74" s="29" t="s">
        <v>40</v>
      </c>
      <c r="AA74" s="140" t="s">
        <v>42</v>
      </c>
      <c r="AB74" s="30" t="s">
        <v>7</v>
      </c>
    </row>
    <row r="75" spans="1:28" s="31" customFormat="1" ht="15.75" customHeight="1" thickBot="1">
      <c r="A75" s="213" t="s">
        <v>9</v>
      </c>
      <c r="B75" s="214"/>
      <c r="C75" s="157"/>
      <c r="D75" s="56"/>
      <c r="E75" s="32" t="s">
        <v>10</v>
      </c>
      <c r="F75" s="211" t="s">
        <v>11</v>
      </c>
      <c r="G75" s="212"/>
      <c r="H75" s="95"/>
      <c r="I75" s="32" t="s">
        <v>10</v>
      </c>
      <c r="J75" s="215" t="s">
        <v>11</v>
      </c>
      <c r="K75" s="216"/>
      <c r="L75" s="95"/>
      <c r="M75" s="32" t="s">
        <v>10</v>
      </c>
      <c r="N75" s="215" t="s">
        <v>11</v>
      </c>
      <c r="O75" s="216"/>
      <c r="P75" s="95"/>
      <c r="Q75" s="32" t="s">
        <v>10</v>
      </c>
      <c r="R75" s="215" t="s">
        <v>11</v>
      </c>
      <c r="S75" s="216"/>
      <c r="T75" s="95"/>
      <c r="U75" s="32" t="s">
        <v>10</v>
      </c>
      <c r="V75" s="215" t="s">
        <v>11</v>
      </c>
      <c r="W75" s="216"/>
      <c r="X75" s="33" t="s">
        <v>10</v>
      </c>
      <c r="Y75" s="134" t="s">
        <v>287</v>
      </c>
      <c r="Z75" s="34" t="s">
        <v>41</v>
      </c>
      <c r="AA75" s="141" t="s">
        <v>43</v>
      </c>
      <c r="AB75" s="35" t="s">
        <v>12</v>
      </c>
    </row>
    <row r="76" spans="1:28" s="38" customFormat="1" ht="42" customHeight="1">
      <c r="A76" s="217" t="s">
        <v>75</v>
      </c>
      <c r="B76" s="218"/>
      <c r="C76" s="158">
        <f>SUM(C77:C79)</f>
        <v>97</v>
      </c>
      <c r="D76" s="62">
        <f>SUM(D77:D79)</f>
        <v>502</v>
      </c>
      <c r="E76" s="63">
        <f>SUM(E77:E79)</f>
        <v>599</v>
      </c>
      <c r="F76" s="46">
        <f>E96</f>
        <v>487</v>
      </c>
      <c r="G76" s="64" t="str">
        <f>A96</f>
        <v>KLG VIRU</v>
      </c>
      <c r="H76" s="62">
        <f>SUM(H77:H79)</f>
        <v>450</v>
      </c>
      <c r="I76" s="49">
        <f>SUM(I77:I79)</f>
        <v>547</v>
      </c>
      <c r="J76" s="49">
        <f>I92</f>
        <v>530</v>
      </c>
      <c r="K76" s="42" t="str">
        <f>A92</f>
        <v>Näpi Saeveski</v>
      </c>
      <c r="L76" s="58">
        <f>SUM(L77:L79)</f>
        <v>409</v>
      </c>
      <c r="M76" s="45">
        <f>SUM(M77:M79)</f>
        <v>506</v>
      </c>
      <c r="N76" s="45">
        <f>M88</f>
        <v>534</v>
      </c>
      <c r="O76" s="42" t="str">
        <f>A88</f>
        <v>Wiru Auto</v>
      </c>
      <c r="P76" s="45">
        <f>SUM(P77:P79)</f>
        <v>474</v>
      </c>
      <c r="Q76" s="45">
        <f>SUM(Q77:Q79)</f>
        <v>571</v>
      </c>
      <c r="R76" s="45">
        <f>Q84</f>
        <v>584</v>
      </c>
      <c r="S76" s="42" t="str">
        <f>A84</f>
        <v>NOOBEL</v>
      </c>
      <c r="T76" s="133">
        <f>SUM(T77:T79)</f>
        <v>471</v>
      </c>
      <c r="U76" s="45">
        <f>SUM(U77:U79)</f>
        <v>568</v>
      </c>
      <c r="V76" s="45">
        <f>U80</f>
        <v>552</v>
      </c>
      <c r="W76" s="42" t="str">
        <f>A80</f>
        <v>Rakvere Soojus</v>
      </c>
      <c r="X76" s="36">
        <f aca="true" t="shared" si="2" ref="X76:X99">E76+I76+M76+Q76+U76</f>
        <v>2791</v>
      </c>
      <c r="Y76" s="105">
        <f>SUM(Y77:Y79)</f>
        <v>2306</v>
      </c>
      <c r="Z76" s="37">
        <f>AVERAGE(Z77,Z78,Z79)</f>
        <v>186.0666666666667</v>
      </c>
      <c r="AA76" s="142">
        <f>AVERAGE(AA77,AA78,AA79)</f>
        <v>153.73333333333332</v>
      </c>
      <c r="AB76" s="219">
        <f>F77+J77+N77+R77+V77</f>
        <v>3</v>
      </c>
    </row>
    <row r="77" spans="1:28" s="38" customFormat="1" ht="15.75" customHeight="1">
      <c r="A77" s="222" t="s">
        <v>86</v>
      </c>
      <c r="B77" s="223"/>
      <c r="C77" s="159">
        <v>23</v>
      </c>
      <c r="D77" s="59">
        <v>169</v>
      </c>
      <c r="E77" s="50">
        <f>D77+C77</f>
        <v>192</v>
      </c>
      <c r="F77" s="224">
        <v>1</v>
      </c>
      <c r="G77" s="225"/>
      <c r="H77" s="97">
        <v>123</v>
      </c>
      <c r="I77" s="46">
        <f>H77+C77</f>
        <v>146</v>
      </c>
      <c r="J77" s="224">
        <v>1</v>
      </c>
      <c r="K77" s="225"/>
      <c r="L77" s="97">
        <v>128</v>
      </c>
      <c r="M77" s="50">
        <f>L77+C77</f>
        <v>151</v>
      </c>
      <c r="N77" s="224">
        <v>0</v>
      </c>
      <c r="O77" s="225"/>
      <c r="P77" s="97">
        <v>151</v>
      </c>
      <c r="Q77" s="50">
        <f>P77+C77</f>
        <v>174</v>
      </c>
      <c r="R77" s="224">
        <v>0</v>
      </c>
      <c r="S77" s="225"/>
      <c r="T77" s="97">
        <v>162</v>
      </c>
      <c r="U77" s="50">
        <f>T77+C77</f>
        <v>185</v>
      </c>
      <c r="V77" s="224">
        <v>1</v>
      </c>
      <c r="W77" s="225"/>
      <c r="X77" s="46">
        <f t="shared" si="2"/>
        <v>848</v>
      </c>
      <c r="Y77" s="106">
        <f>D77+H77+L77+P77+T77</f>
        <v>733</v>
      </c>
      <c r="Z77" s="67">
        <f>AVERAGE(E77,I77,M77,Q77,U77)</f>
        <v>169.6</v>
      </c>
      <c r="AA77" s="143">
        <f>AVERAGE(E77,I77,M77,Q77,U77)-C77</f>
        <v>146.6</v>
      </c>
      <c r="AB77" s="220"/>
    </row>
    <row r="78" spans="1:28" s="38" customFormat="1" ht="15.75" customHeight="1">
      <c r="A78" s="222" t="s">
        <v>85</v>
      </c>
      <c r="B78" s="223"/>
      <c r="C78" s="159">
        <v>45</v>
      </c>
      <c r="D78" s="59">
        <v>195</v>
      </c>
      <c r="E78" s="50">
        <f>D78+C78</f>
        <v>240</v>
      </c>
      <c r="F78" s="226"/>
      <c r="G78" s="227"/>
      <c r="H78" s="98">
        <v>147</v>
      </c>
      <c r="I78" s="46">
        <f>H78+C78</f>
        <v>192</v>
      </c>
      <c r="J78" s="226"/>
      <c r="K78" s="227"/>
      <c r="L78" s="98">
        <v>136</v>
      </c>
      <c r="M78" s="50">
        <f>L78+C78</f>
        <v>181</v>
      </c>
      <c r="N78" s="226"/>
      <c r="O78" s="227"/>
      <c r="P78" s="98">
        <v>197</v>
      </c>
      <c r="Q78" s="50">
        <f>P78+C78</f>
        <v>242</v>
      </c>
      <c r="R78" s="226"/>
      <c r="S78" s="227"/>
      <c r="T78" s="98">
        <v>133</v>
      </c>
      <c r="U78" s="50">
        <f>T78+C78</f>
        <v>178</v>
      </c>
      <c r="V78" s="226"/>
      <c r="W78" s="227"/>
      <c r="X78" s="46">
        <f t="shared" si="2"/>
        <v>1033</v>
      </c>
      <c r="Y78" s="106">
        <f>D78+H78+L78+P78+T78</f>
        <v>808</v>
      </c>
      <c r="Z78" s="67">
        <f>AVERAGE(E78,I78,M78,Q78,U78)</f>
        <v>206.6</v>
      </c>
      <c r="AA78" s="143">
        <f>AVERAGE(E78,I78,M78,Q78,U78)-C78</f>
        <v>161.6</v>
      </c>
      <c r="AB78" s="220"/>
    </row>
    <row r="79" spans="1:28" s="38" customFormat="1" ht="16.5" customHeight="1" thickBot="1">
      <c r="A79" s="229" t="s">
        <v>307</v>
      </c>
      <c r="B79" s="230"/>
      <c r="C79" s="160">
        <v>29</v>
      </c>
      <c r="D79" s="60">
        <v>138</v>
      </c>
      <c r="E79" s="50">
        <f>D79+C79</f>
        <v>167</v>
      </c>
      <c r="F79" s="204"/>
      <c r="G79" s="228"/>
      <c r="H79" s="99">
        <v>180</v>
      </c>
      <c r="I79" s="46">
        <f>H79+C79</f>
        <v>209</v>
      </c>
      <c r="J79" s="204"/>
      <c r="K79" s="228"/>
      <c r="L79" s="99">
        <v>145</v>
      </c>
      <c r="M79" s="50">
        <f>L79+C79</f>
        <v>174</v>
      </c>
      <c r="N79" s="204"/>
      <c r="O79" s="228"/>
      <c r="P79" s="99">
        <v>126</v>
      </c>
      <c r="Q79" s="50">
        <f>P79+C79</f>
        <v>155</v>
      </c>
      <c r="R79" s="204"/>
      <c r="S79" s="228"/>
      <c r="T79" s="99">
        <v>176</v>
      </c>
      <c r="U79" s="50">
        <f>T79+C79</f>
        <v>205</v>
      </c>
      <c r="V79" s="204"/>
      <c r="W79" s="228"/>
      <c r="X79" s="47">
        <f t="shared" si="2"/>
        <v>910</v>
      </c>
      <c r="Y79" s="107">
        <f>D79+H79+L79+P79+T79</f>
        <v>765</v>
      </c>
      <c r="Z79" s="68">
        <f>AVERAGE(E79,I79,M79,Q79,U79)</f>
        <v>182</v>
      </c>
      <c r="AA79" s="144">
        <f>AVERAGE(E79,I79,M79,Q79,U79)-C79</f>
        <v>153</v>
      </c>
      <c r="AB79" s="221"/>
    </row>
    <row r="80" spans="1:28" s="38" customFormat="1" ht="41.25" customHeight="1">
      <c r="A80" s="217" t="s">
        <v>249</v>
      </c>
      <c r="B80" s="218"/>
      <c r="C80" s="158">
        <f>SUM(C81:C83)</f>
        <v>115</v>
      </c>
      <c r="D80" s="62">
        <f>SUM(D81:D83)</f>
        <v>423</v>
      </c>
      <c r="E80" s="45">
        <f>SUM(E81:E83)</f>
        <v>538</v>
      </c>
      <c r="F80" s="45">
        <f>E92</f>
        <v>570</v>
      </c>
      <c r="G80" s="42" t="str">
        <f>A92</f>
        <v>Näpi Saeveski</v>
      </c>
      <c r="H80" s="62">
        <f>SUM(H81:H83)</f>
        <v>440</v>
      </c>
      <c r="I80" s="45">
        <f>SUM(I81:I83)</f>
        <v>555</v>
      </c>
      <c r="J80" s="45">
        <f>I88</f>
        <v>558</v>
      </c>
      <c r="K80" s="42" t="str">
        <f>A88</f>
        <v>Wiru Auto</v>
      </c>
      <c r="L80" s="133">
        <f>SUM(L81:L83)</f>
        <v>412</v>
      </c>
      <c r="M80" s="49">
        <f>SUM(M81:M83)</f>
        <v>527</v>
      </c>
      <c r="N80" s="45">
        <f>M84</f>
        <v>560</v>
      </c>
      <c r="O80" s="42" t="str">
        <f>A84</f>
        <v>NOOBEL</v>
      </c>
      <c r="P80" s="45">
        <f>SUM(P81:P83)</f>
        <v>493</v>
      </c>
      <c r="Q80" s="49">
        <f>SUM(Q81:Q83)</f>
        <v>608</v>
      </c>
      <c r="R80" s="45">
        <f>Q96</f>
        <v>570</v>
      </c>
      <c r="S80" s="42" t="str">
        <f>A96</f>
        <v>KLG VIRU</v>
      </c>
      <c r="T80" s="133">
        <f>SUM(T81:T83)</f>
        <v>437</v>
      </c>
      <c r="U80" s="49">
        <f>SUM(U81:U83)</f>
        <v>552</v>
      </c>
      <c r="V80" s="45">
        <f>U76</f>
        <v>568</v>
      </c>
      <c r="W80" s="42" t="str">
        <f>A76</f>
        <v>LATER</v>
      </c>
      <c r="X80" s="36">
        <f t="shared" si="2"/>
        <v>2780</v>
      </c>
      <c r="Y80" s="105">
        <f>SUM(Y81:Y83)</f>
        <v>2205</v>
      </c>
      <c r="Z80" s="65">
        <f>AVERAGE(Z81,Z82,Z83)</f>
        <v>185.33333333333334</v>
      </c>
      <c r="AA80" s="142">
        <f>AVERAGE(AA81,AA82,AA83)</f>
        <v>147</v>
      </c>
      <c r="AB80" s="219">
        <f>F81+J81+N81+R81+V81</f>
        <v>1</v>
      </c>
    </row>
    <row r="81" spans="1:28" s="38" customFormat="1" ht="15.75" customHeight="1">
      <c r="A81" s="222" t="s">
        <v>250</v>
      </c>
      <c r="B81" s="223"/>
      <c r="C81" s="159">
        <v>41</v>
      </c>
      <c r="D81" s="59">
        <v>120</v>
      </c>
      <c r="E81" s="50">
        <f>D81+C81</f>
        <v>161</v>
      </c>
      <c r="F81" s="224">
        <v>0</v>
      </c>
      <c r="G81" s="225"/>
      <c r="H81" s="97">
        <v>141</v>
      </c>
      <c r="I81" s="46">
        <f>H81+C81</f>
        <v>182</v>
      </c>
      <c r="J81" s="224">
        <v>0</v>
      </c>
      <c r="K81" s="225"/>
      <c r="L81" s="97">
        <v>139</v>
      </c>
      <c r="M81" s="50">
        <f>L81+C81</f>
        <v>180</v>
      </c>
      <c r="N81" s="224">
        <v>0</v>
      </c>
      <c r="O81" s="225"/>
      <c r="P81" s="97">
        <v>155</v>
      </c>
      <c r="Q81" s="50">
        <f>P81+C81</f>
        <v>196</v>
      </c>
      <c r="R81" s="224">
        <v>1</v>
      </c>
      <c r="S81" s="225"/>
      <c r="T81" s="97">
        <v>178</v>
      </c>
      <c r="U81" s="50">
        <f>T81+C81</f>
        <v>219</v>
      </c>
      <c r="V81" s="224">
        <v>0</v>
      </c>
      <c r="W81" s="225"/>
      <c r="X81" s="46">
        <f t="shared" si="2"/>
        <v>938</v>
      </c>
      <c r="Y81" s="106">
        <f>D81+H81+L81+P81+T81</f>
        <v>733</v>
      </c>
      <c r="Z81" s="67">
        <f>AVERAGE(E81,I81,M81,Q81,U81)</f>
        <v>187.6</v>
      </c>
      <c r="AA81" s="143">
        <f>AVERAGE(E81,I81,M81,Q81,U81)-C81</f>
        <v>146.6</v>
      </c>
      <c r="AB81" s="220"/>
    </row>
    <row r="82" spans="1:28" s="38" customFormat="1" ht="15.75" customHeight="1">
      <c r="A82" s="222" t="s">
        <v>251</v>
      </c>
      <c r="B82" s="223"/>
      <c r="C82" s="159">
        <v>46</v>
      </c>
      <c r="D82" s="59">
        <v>118</v>
      </c>
      <c r="E82" s="50">
        <f>D82+C82</f>
        <v>164</v>
      </c>
      <c r="F82" s="226"/>
      <c r="G82" s="227"/>
      <c r="H82" s="98">
        <v>149</v>
      </c>
      <c r="I82" s="46">
        <f>H82+C82</f>
        <v>195</v>
      </c>
      <c r="J82" s="226"/>
      <c r="K82" s="227"/>
      <c r="L82" s="98">
        <v>129</v>
      </c>
      <c r="M82" s="50">
        <f>L82+C82</f>
        <v>175</v>
      </c>
      <c r="N82" s="226"/>
      <c r="O82" s="227"/>
      <c r="P82" s="98">
        <v>160</v>
      </c>
      <c r="Q82" s="50">
        <f>P82+C82</f>
        <v>206</v>
      </c>
      <c r="R82" s="226"/>
      <c r="S82" s="227"/>
      <c r="T82" s="98">
        <v>124</v>
      </c>
      <c r="U82" s="50">
        <f>T82+C82</f>
        <v>170</v>
      </c>
      <c r="V82" s="226"/>
      <c r="W82" s="227"/>
      <c r="X82" s="46">
        <f t="shared" si="2"/>
        <v>910</v>
      </c>
      <c r="Y82" s="106">
        <f>D82+H82+L82+P82+T82</f>
        <v>680</v>
      </c>
      <c r="Z82" s="67">
        <f>AVERAGE(E82,I82,M82,Q82,U82)</f>
        <v>182</v>
      </c>
      <c r="AA82" s="143">
        <f>AVERAGE(E82,I82,M82,Q82,U82)-C82</f>
        <v>136</v>
      </c>
      <c r="AB82" s="220"/>
    </row>
    <row r="83" spans="1:28" s="38" customFormat="1" ht="15.75" customHeight="1" thickBot="1">
      <c r="A83" s="229" t="s">
        <v>252</v>
      </c>
      <c r="B83" s="230"/>
      <c r="C83" s="160">
        <v>28</v>
      </c>
      <c r="D83" s="60">
        <v>185</v>
      </c>
      <c r="E83" s="50">
        <f>D83+C83</f>
        <v>213</v>
      </c>
      <c r="F83" s="204"/>
      <c r="G83" s="228"/>
      <c r="H83" s="99">
        <v>150</v>
      </c>
      <c r="I83" s="46">
        <f>H83+C83</f>
        <v>178</v>
      </c>
      <c r="J83" s="204"/>
      <c r="K83" s="228"/>
      <c r="L83" s="99">
        <v>144</v>
      </c>
      <c r="M83" s="50">
        <f>L83+C83</f>
        <v>172</v>
      </c>
      <c r="N83" s="204"/>
      <c r="O83" s="228"/>
      <c r="P83" s="99">
        <v>178</v>
      </c>
      <c r="Q83" s="50">
        <f>P83+C83</f>
        <v>206</v>
      </c>
      <c r="R83" s="204"/>
      <c r="S83" s="228"/>
      <c r="T83" s="99">
        <v>135</v>
      </c>
      <c r="U83" s="50">
        <f>T83+C83</f>
        <v>163</v>
      </c>
      <c r="V83" s="204"/>
      <c r="W83" s="228"/>
      <c r="X83" s="47">
        <f t="shared" si="2"/>
        <v>932</v>
      </c>
      <c r="Y83" s="107">
        <f>D83+H83+L83+P83+T83</f>
        <v>792</v>
      </c>
      <c r="Z83" s="68">
        <f>AVERAGE(E83,I83,M83,Q83,U83)</f>
        <v>186.4</v>
      </c>
      <c r="AA83" s="144">
        <f>AVERAGE(E83,I83,M83,Q83,U83)-C83</f>
        <v>158.4</v>
      </c>
      <c r="AB83" s="221"/>
    </row>
    <row r="84" spans="1:28" s="38" customFormat="1" ht="47.25" customHeight="1">
      <c r="A84" s="217" t="s">
        <v>197</v>
      </c>
      <c r="B84" s="218"/>
      <c r="C84" s="158">
        <f>SUM(C85:C87)</f>
        <v>67</v>
      </c>
      <c r="D84" s="62">
        <f>SUM(D85:D87)</f>
        <v>442</v>
      </c>
      <c r="E84" s="45">
        <f>SUM(E85:E87)</f>
        <v>509</v>
      </c>
      <c r="F84" s="45">
        <f>E88</f>
        <v>603</v>
      </c>
      <c r="G84" s="42" t="str">
        <f>A88</f>
        <v>Wiru Auto</v>
      </c>
      <c r="H84" s="62">
        <f>SUM(H85:H87)</f>
        <v>492</v>
      </c>
      <c r="I84" s="45">
        <f>SUM(I85:I87)</f>
        <v>559</v>
      </c>
      <c r="J84" s="45">
        <f>I96</f>
        <v>563</v>
      </c>
      <c r="K84" s="42" t="str">
        <f>A96</f>
        <v>KLG VIRU</v>
      </c>
      <c r="L84" s="133">
        <f>SUM(L85:L87)</f>
        <v>493</v>
      </c>
      <c r="M84" s="69">
        <f>SUM(M85:M87)</f>
        <v>560</v>
      </c>
      <c r="N84" s="45">
        <f>M80</f>
        <v>527</v>
      </c>
      <c r="O84" s="42" t="str">
        <f>A80</f>
        <v>Rakvere Soojus</v>
      </c>
      <c r="P84" s="45">
        <f>SUM(P85:P87)</f>
        <v>517</v>
      </c>
      <c r="Q84" s="49">
        <f>SUM(Q85:Q87)</f>
        <v>584</v>
      </c>
      <c r="R84" s="45">
        <f>Q76</f>
        <v>571</v>
      </c>
      <c r="S84" s="42" t="str">
        <f>A76</f>
        <v>LATER</v>
      </c>
      <c r="T84" s="133">
        <f>SUM(T85:T87)</f>
        <v>515</v>
      </c>
      <c r="U84" s="69">
        <f>SUM(U85:U87)</f>
        <v>582</v>
      </c>
      <c r="V84" s="45">
        <f>U92</f>
        <v>532</v>
      </c>
      <c r="W84" s="42" t="str">
        <f>A92</f>
        <v>Näpi Saeveski</v>
      </c>
      <c r="X84" s="36">
        <f t="shared" si="2"/>
        <v>2794</v>
      </c>
      <c r="Y84" s="105">
        <f>SUM(Y85:Y87)</f>
        <v>2459</v>
      </c>
      <c r="Z84" s="65">
        <f>AVERAGE(Z85,Z86,Z87)</f>
        <v>186.26666666666665</v>
      </c>
      <c r="AA84" s="142">
        <f>AVERAGE(AA85,AA86,AA87)</f>
        <v>163.9333333333333</v>
      </c>
      <c r="AB84" s="219">
        <f>F85+J85+N85+R85+V85</f>
        <v>3</v>
      </c>
    </row>
    <row r="85" spans="1:28" s="38" customFormat="1" ht="15.75" customHeight="1">
      <c r="A85" s="222" t="s">
        <v>203</v>
      </c>
      <c r="B85" s="223"/>
      <c r="C85" s="159">
        <v>28</v>
      </c>
      <c r="D85" s="59">
        <v>144</v>
      </c>
      <c r="E85" s="50">
        <f>D85+C85</f>
        <v>172</v>
      </c>
      <c r="F85" s="224">
        <v>0</v>
      </c>
      <c r="G85" s="225"/>
      <c r="H85" s="97">
        <v>180</v>
      </c>
      <c r="I85" s="46">
        <f>H85+C85</f>
        <v>208</v>
      </c>
      <c r="J85" s="224">
        <v>0</v>
      </c>
      <c r="K85" s="225"/>
      <c r="L85" s="97">
        <v>166</v>
      </c>
      <c r="M85" s="50">
        <f>L85+C85</f>
        <v>194</v>
      </c>
      <c r="N85" s="224">
        <v>1</v>
      </c>
      <c r="O85" s="225"/>
      <c r="P85" s="97">
        <v>166</v>
      </c>
      <c r="Q85" s="50">
        <f>P85+C85</f>
        <v>194</v>
      </c>
      <c r="R85" s="224">
        <v>1</v>
      </c>
      <c r="S85" s="225"/>
      <c r="T85" s="97">
        <v>170</v>
      </c>
      <c r="U85" s="50">
        <f>T85+C85</f>
        <v>198</v>
      </c>
      <c r="V85" s="224">
        <v>1</v>
      </c>
      <c r="W85" s="225"/>
      <c r="X85" s="46">
        <f t="shared" si="2"/>
        <v>966</v>
      </c>
      <c r="Y85" s="106">
        <f>D85+H85+L85+P85+T85</f>
        <v>826</v>
      </c>
      <c r="Z85" s="67">
        <f>AVERAGE(E85,I85,M85,Q85,U85)</f>
        <v>193.2</v>
      </c>
      <c r="AA85" s="143">
        <f>AVERAGE(E85,I85,M85,Q85,U85)-C85</f>
        <v>165.2</v>
      </c>
      <c r="AB85" s="220"/>
    </row>
    <row r="86" spans="1:28" s="38" customFormat="1" ht="15.75" customHeight="1">
      <c r="A86" s="222" t="s">
        <v>204</v>
      </c>
      <c r="B86" s="223"/>
      <c r="C86" s="159">
        <v>24</v>
      </c>
      <c r="D86" s="59">
        <v>163</v>
      </c>
      <c r="E86" s="50">
        <f>D86+C86</f>
        <v>187</v>
      </c>
      <c r="F86" s="226"/>
      <c r="G86" s="227"/>
      <c r="H86" s="98">
        <v>188</v>
      </c>
      <c r="I86" s="46">
        <f>H86+C86</f>
        <v>212</v>
      </c>
      <c r="J86" s="226"/>
      <c r="K86" s="227"/>
      <c r="L86" s="98">
        <v>181</v>
      </c>
      <c r="M86" s="50">
        <f>L86+C86</f>
        <v>205</v>
      </c>
      <c r="N86" s="226"/>
      <c r="O86" s="227"/>
      <c r="P86" s="98">
        <v>209</v>
      </c>
      <c r="Q86" s="50">
        <f>P86+C86</f>
        <v>233</v>
      </c>
      <c r="R86" s="226"/>
      <c r="S86" s="227"/>
      <c r="T86" s="98">
        <v>237</v>
      </c>
      <c r="U86" s="50">
        <f>T86+C86</f>
        <v>261</v>
      </c>
      <c r="V86" s="226"/>
      <c r="W86" s="227"/>
      <c r="X86" s="46">
        <f t="shared" si="2"/>
        <v>1098</v>
      </c>
      <c r="Y86" s="106">
        <f>D86+H86+L86+P86+T86</f>
        <v>978</v>
      </c>
      <c r="Z86" s="67">
        <f>AVERAGE(E86,I86,M86,Q86,U86)</f>
        <v>219.6</v>
      </c>
      <c r="AA86" s="143">
        <f>AVERAGE(E86,I86,M86,Q86,U86)-C86</f>
        <v>195.6</v>
      </c>
      <c r="AB86" s="220"/>
    </row>
    <row r="87" spans="1:28" s="38" customFormat="1" ht="15.75" customHeight="1" thickBot="1">
      <c r="A87" s="229" t="s">
        <v>205</v>
      </c>
      <c r="B87" s="230"/>
      <c r="C87" s="160">
        <v>15</v>
      </c>
      <c r="D87" s="60">
        <v>135</v>
      </c>
      <c r="E87" s="50">
        <f>D87+C87</f>
        <v>150</v>
      </c>
      <c r="F87" s="204"/>
      <c r="G87" s="228"/>
      <c r="H87" s="99">
        <v>124</v>
      </c>
      <c r="I87" s="46">
        <f>H87+C87</f>
        <v>139</v>
      </c>
      <c r="J87" s="204"/>
      <c r="K87" s="228"/>
      <c r="L87" s="99">
        <v>146</v>
      </c>
      <c r="M87" s="50">
        <f>L87+C87</f>
        <v>161</v>
      </c>
      <c r="N87" s="204"/>
      <c r="O87" s="228"/>
      <c r="P87" s="99">
        <v>142</v>
      </c>
      <c r="Q87" s="50">
        <f>P87+C87</f>
        <v>157</v>
      </c>
      <c r="R87" s="204"/>
      <c r="S87" s="228"/>
      <c r="T87" s="99">
        <v>108</v>
      </c>
      <c r="U87" s="50">
        <f>T87+C87</f>
        <v>123</v>
      </c>
      <c r="V87" s="204"/>
      <c r="W87" s="228"/>
      <c r="X87" s="47">
        <f t="shared" si="2"/>
        <v>730</v>
      </c>
      <c r="Y87" s="107">
        <f>D87+H87+L87+P87+T87</f>
        <v>655</v>
      </c>
      <c r="Z87" s="68">
        <f>AVERAGE(E87,I87,M87,Q87,U87)</f>
        <v>146</v>
      </c>
      <c r="AA87" s="144">
        <f>AVERAGE(E87,I87,M87,Q87,U87)-C87</f>
        <v>131</v>
      </c>
      <c r="AB87" s="221"/>
    </row>
    <row r="88" spans="1:28" s="38" customFormat="1" ht="39" customHeight="1">
      <c r="A88" s="217" t="s">
        <v>162</v>
      </c>
      <c r="B88" s="218"/>
      <c r="C88" s="158">
        <f>SUM(C89:C91)</f>
        <v>140</v>
      </c>
      <c r="D88" s="62">
        <f>SUM(D89:D91)</f>
        <v>463</v>
      </c>
      <c r="E88" s="45">
        <f>SUM(E89:E91)</f>
        <v>603</v>
      </c>
      <c r="F88" s="45">
        <f>E84</f>
        <v>509</v>
      </c>
      <c r="G88" s="42" t="str">
        <f>A84</f>
        <v>NOOBEL</v>
      </c>
      <c r="H88" s="62">
        <f>SUM(H89:H91)</f>
        <v>418</v>
      </c>
      <c r="I88" s="45">
        <f>SUM(I89:I91)</f>
        <v>558</v>
      </c>
      <c r="J88" s="45">
        <f>I80</f>
        <v>555</v>
      </c>
      <c r="K88" s="42" t="str">
        <f>A80</f>
        <v>Rakvere Soojus</v>
      </c>
      <c r="L88" s="133">
        <f>SUM(L89:L91)</f>
        <v>394</v>
      </c>
      <c r="M88" s="49">
        <f>SUM(M89:M91)</f>
        <v>534</v>
      </c>
      <c r="N88" s="45">
        <f>M76</f>
        <v>506</v>
      </c>
      <c r="O88" s="42" t="str">
        <f>A76</f>
        <v>LATER</v>
      </c>
      <c r="P88" s="45">
        <f>SUM(P89:P91)</f>
        <v>472</v>
      </c>
      <c r="Q88" s="49">
        <f>SUM(Q89:Q91)</f>
        <v>612</v>
      </c>
      <c r="R88" s="45">
        <f>Q92</f>
        <v>550</v>
      </c>
      <c r="S88" s="42" t="str">
        <f>A92</f>
        <v>Näpi Saeveski</v>
      </c>
      <c r="T88" s="133">
        <f>SUM(T89:T91)</f>
        <v>395</v>
      </c>
      <c r="U88" s="49">
        <f>SUM(U89:U91)</f>
        <v>535</v>
      </c>
      <c r="V88" s="45">
        <f>U96</f>
        <v>499</v>
      </c>
      <c r="W88" s="42" t="str">
        <f>A96</f>
        <v>KLG VIRU</v>
      </c>
      <c r="X88" s="36">
        <f t="shared" si="2"/>
        <v>2842</v>
      </c>
      <c r="Y88" s="105">
        <f>SUM(Y89:Y91)</f>
        <v>2142</v>
      </c>
      <c r="Z88" s="65">
        <f>AVERAGE(Z89,Z90,Z91)</f>
        <v>189.46666666666667</v>
      </c>
      <c r="AA88" s="142">
        <f>AVERAGE(AA89,AA90,AA91)</f>
        <v>142.79999999999998</v>
      </c>
      <c r="AB88" s="219">
        <f>F89+J89+N89+R89+V89</f>
        <v>5</v>
      </c>
    </row>
    <row r="89" spans="1:28" s="38" customFormat="1" ht="15.75" customHeight="1">
      <c r="A89" s="222" t="s">
        <v>153</v>
      </c>
      <c r="B89" s="223"/>
      <c r="C89" s="159">
        <v>36</v>
      </c>
      <c r="D89" s="59">
        <v>167</v>
      </c>
      <c r="E89" s="50">
        <f>D89+C89</f>
        <v>203</v>
      </c>
      <c r="F89" s="224">
        <v>1</v>
      </c>
      <c r="G89" s="225"/>
      <c r="H89" s="97">
        <v>156</v>
      </c>
      <c r="I89" s="46">
        <f>H89+C89</f>
        <v>192</v>
      </c>
      <c r="J89" s="224">
        <v>1</v>
      </c>
      <c r="K89" s="225"/>
      <c r="L89" s="97">
        <v>129</v>
      </c>
      <c r="M89" s="50">
        <f>L89+C89</f>
        <v>165</v>
      </c>
      <c r="N89" s="224">
        <v>1</v>
      </c>
      <c r="O89" s="225"/>
      <c r="P89" s="97">
        <v>160</v>
      </c>
      <c r="Q89" s="50">
        <f>P89+C89</f>
        <v>196</v>
      </c>
      <c r="R89" s="224">
        <v>1</v>
      </c>
      <c r="S89" s="225"/>
      <c r="T89" s="97">
        <v>139</v>
      </c>
      <c r="U89" s="50">
        <f>T89+C89</f>
        <v>175</v>
      </c>
      <c r="V89" s="224">
        <v>1</v>
      </c>
      <c r="W89" s="225"/>
      <c r="X89" s="46">
        <f t="shared" si="2"/>
        <v>931</v>
      </c>
      <c r="Y89" s="106">
        <f>D89+H89+L89+P89+T89</f>
        <v>751</v>
      </c>
      <c r="Z89" s="67">
        <f>AVERAGE(E89,I89,M89,Q89,U89)</f>
        <v>186.2</v>
      </c>
      <c r="AA89" s="143">
        <f>AVERAGE(E89,I89,M89,Q89,U89)-C89</f>
        <v>150.2</v>
      </c>
      <c r="AB89" s="220"/>
    </row>
    <row r="90" spans="1:28" s="38" customFormat="1" ht="15.75" customHeight="1">
      <c r="A90" s="222" t="s">
        <v>154</v>
      </c>
      <c r="B90" s="223"/>
      <c r="C90" s="159">
        <v>58</v>
      </c>
      <c r="D90" s="59">
        <v>117</v>
      </c>
      <c r="E90" s="50">
        <f>D90+C90</f>
        <v>175</v>
      </c>
      <c r="F90" s="226"/>
      <c r="G90" s="227"/>
      <c r="H90" s="98">
        <v>134</v>
      </c>
      <c r="I90" s="46">
        <f>H90+C90</f>
        <v>192</v>
      </c>
      <c r="J90" s="226"/>
      <c r="K90" s="227"/>
      <c r="L90" s="98">
        <v>131</v>
      </c>
      <c r="M90" s="50">
        <f>L90+C90</f>
        <v>189</v>
      </c>
      <c r="N90" s="226"/>
      <c r="O90" s="227"/>
      <c r="P90" s="98">
        <v>177</v>
      </c>
      <c r="Q90" s="50">
        <f>P90+C90</f>
        <v>235</v>
      </c>
      <c r="R90" s="226"/>
      <c r="S90" s="227"/>
      <c r="T90" s="98">
        <v>109</v>
      </c>
      <c r="U90" s="50">
        <f>T90+C90</f>
        <v>167</v>
      </c>
      <c r="V90" s="226"/>
      <c r="W90" s="227"/>
      <c r="X90" s="46">
        <f t="shared" si="2"/>
        <v>958</v>
      </c>
      <c r="Y90" s="106">
        <f>D90+H90+L90+P90+T90</f>
        <v>668</v>
      </c>
      <c r="Z90" s="67">
        <f>AVERAGE(E90,I90,M90,Q90,U90)</f>
        <v>191.6</v>
      </c>
      <c r="AA90" s="143">
        <f>AVERAGE(E90,I90,M90,Q90,U90)-C90</f>
        <v>133.6</v>
      </c>
      <c r="AB90" s="220"/>
    </row>
    <row r="91" spans="1:29" s="38" customFormat="1" ht="15.75" customHeight="1" thickBot="1">
      <c r="A91" s="229" t="s">
        <v>155</v>
      </c>
      <c r="B91" s="230"/>
      <c r="C91" s="160">
        <v>46</v>
      </c>
      <c r="D91" s="60">
        <v>179</v>
      </c>
      <c r="E91" s="50">
        <f>D91+C91</f>
        <v>225</v>
      </c>
      <c r="F91" s="204"/>
      <c r="G91" s="228"/>
      <c r="H91" s="99">
        <v>128</v>
      </c>
      <c r="I91" s="46">
        <f>H91+C91</f>
        <v>174</v>
      </c>
      <c r="J91" s="204"/>
      <c r="K91" s="228"/>
      <c r="L91" s="99">
        <v>134</v>
      </c>
      <c r="M91" s="50">
        <f>L91+C91</f>
        <v>180</v>
      </c>
      <c r="N91" s="204"/>
      <c r="O91" s="228"/>
      <c r="P91" s="99">
        <v>135</v>
      </c>
      <c r="Q91" s="50">
        <f>P91+C91</f>
        <v>181</v>
      </c>
      <c r="R91" s="204"/>
      <c r="S91" s="228"/>
      <c r="T91" s="99">
        <v>147</v>
      </c>
      <c r="U91" s="50">
        <f>T91+C91</f>
        <v>193</v>
      </c>
      <c r="V91" s="204"/>
      <c r="W91" s="228"/>
      <c r="X91" s="47">
        <f t="shared" si="2"/>
        <v>953</v>
      </c>
      <c r="Y91" s="107">
        <f>D91+H91+L91+P91+T91</f>
        <v>723</v>
      </c>
      <c r="Z91" s="68">
        <f>AVERAGE(E91,I91,M91,Q91,U91)</f>
        <v>190.6</v>
      </c>
      <c r="AA91" s="144">
        <f>AVERAGE(E91,I91,M91,Q91,U91)-C91</f>
        <v>144.6</v>
      </c>
      <c r="AB91" s="221"/>
      <c r="AC91" s="44"/>
    </row>
    <row r="92" spans="1:28" s="38" customFormat="1" ht="40.5" customHeight="1">
      <c r="A92" s="217" t="s">
        <v>226</v>
      </c>
      <c r="B92" s="218"/>
      <c r="C92" s="158">
        <f>SUM(C93:C95)</f>
        <v>94</v>
      </c>
      <c r="D92" s="62">
        <f>SUM(D93:D95)</f>
        <v>476</v>
      </c>
      <c r="E92" s="45">
        <f>SUM(E93:E95)</f>
        <v>570</v>
      </c>
      <c r="F92" s="45">
        <f>E80</f>
        <v>538</v>
      </c>
      <c r="G92" s="42" t="str">
        <f>A80</f>
        <v>Rakvere Soojus</v>
      </c>
      <c r="H92" s="62">
        <f>SUM(H93:H95)</f>
        <v>436</v>
      </c>
      <c r="I92" s="45">
        <f>SUM(I93:I95)</f>
        <v>530</v>
      </c>
      <c r="J92" s="45">
        <f>I76</f>
        <v>547</v>
      </c>
      <c r="K92" s="42" t="str">
        <f>A76</f>
        <v>LATER</v>
      </c>
      <c r="L92" s="133">
        <f>SUM(L93:L95)</f>
        <v>468</v>
      </c>
      <c r="M92" s="69">
        <f>SUM(M93:M95)</f>
        <v>562</v>
      </c>
      <c r="N92" s="45">
        <f>M96</f>
        <v>482</v>
      </c>
      <c r="O92" s="42" t="str">
        <f>A96</f>
        <v>KLG VIRU</v>
      </c>
      <c r="P92" s="45">
        <f>SUM(P93:P95)</f>
        <v>456</v>
      </c>
      <c r="Q92" s="69">
        <f>SUM(Q93:Q95)</f>
        <v>550</v>
      </c>
      <c r="R92" s="45">
        <f>Q88</f>
        <v>612</v>
      </c>
      <c r="S92" s="42" t="str">
        <f>A88</f>
        <v>Wiru Auto</v>
      </c>
      <c r="T92" s="133">
        <f>SUM(T93:T95)</f>
        <v>438</v>
      </c>
      <c r="U92" s="69">
        <f>SUM(U93:U95)</f>
        <v>532</v>
      </c>
      <c r="V92" s="45">
        <f>U84</f>
        <v>582</v>
      </c>
      <c r="W92" s="42" t="str">
        <f>A84</f>
        <v>NOOBEL</v>
      </c>
      <c r="X92" s="36">
        <f t="shared" si="2"/>
        <v>2744</v>
      </c>
      <c r="Y92" s="105">
        <f>SUM(Y93:Y95)</f>
        <v>2274</v>
      </c>
      <c r="Z92" s="65">
        <f>AVERAGE(Z93,Z94,Z95)</f>
        <v>182.9333333333333</v>
      </c>
      <c r="AA92" s="142">
        <f>AVERAGE(AA93,AA94,AA95)</f>
        <v>151.6</v>
      </c>
      <c r="AB92" s="219">
        <f>F93+J93+N93+R93+V93</f>
        <v>2</v>
      </c>
    </row>
    <row r="93" spans="1:28" s="38" customFormat="1" ht="15.75" customHeight="1">
      <c r="A93" s="222" t="s">
        <v>206</v>
      </c>
      <c r="B93" s="223"/>
      <c r="C93" s="159">
        <v>23</v>
      </c>
      <c r="D93" s="59">
        <v>149</v>
      </c>
      <c r="E93" s="50">
        <f>D93+C93</f>
        <v>172</v>
      </c>
      <c r="F93" s="224">
        <v>1</v>
      </c>
      <c r="G93" s="225"/>
      <c r="H93" s="97">
        <v>161</v>
      </c>
      <c r="I93" s="46">
        <f>H93+C93</f>
        <v>184</v>
      </c>
      <c r="J93" s="224">
        <v>0</v>
      </c>
      <c r="K93" s="225"/>
      <c r="L93" s="97">
        <v>148</v>
      </c>
      <c r="M93" s="50">
        <f>L93+C93</f>
        <v>171</v>
      </c>
      <c r="N93" s="224">
        <v>1</v>
      </c>
      <c r="O93" s="225"/>
      <c r="P93" s="97">
        <v>162</v>
      </c>
      <c r="Q93" s="50">
        <f>P93+C93</f>
        <v>185</v>
      </c>
      <c r="R93" s="224">
        <v>0</v>
      </c>
      <c r="S93" s="225"/>
      <c r="T93" s="97">
        <v>163</v>
      </c>
      <c r="U93" s="50">
        <f>T93+C93</f>
        <v>186</v>
      </c>
      <c r="V93" s="224">
        <v>0</v>
      </c>
      <c r="W93" s="225"/>
      <c r="X93" s="46">
        <f t="shared" si="2"/>
        <v>898</v>
      </c>
      <c r="Y93" s="106">
        <f>D93+H93+L93+P93+T93</f>
        <v>783</v>
      </c>
      <c r="Z93" s="67">
        <f>AVERAGE(E93,I93,M93,Q93,U93)</f>
        <v>179.6</v>
      </c>
      <c r="AA93" s="143">
        <f>AVERAGE(E93,I93,M93,Q93,U93)-C93</f>
        <v>156.6</v>
      </c>
      <c r="AB93" s="220"/>
    </row>
    <row r="94" spans="1:28" s="38" customFormat="1" ht="15.75" customHeight="1">
      <c r="A94" s="222" t="s">
        <v>306</v>
      </c>
      <c r="B94" s="223"/>
      <c r="C94" s="159">
        <v>28</v>
      </c>
      <c r="D94" s="59">
        <v>185</v>
      </c>
      <c r="E94" s="50">
        <f>D94+C94</f>
        <v>213</v>
      </c>
      <c r="F94" s="226"/>
      <c r="G94" s="227"/>
      <c r="H94" s="98">
        <v>143</v>
      </c>
      <c r="I94" s="46">
        <f>H94+C94</f>
        <v>171</v>
      </c>
      <c r="J94" s="226"/>
      <c r="K94" s="227"/>
      <c r="L94" s="98">
        <v>159</v>
      </c>
      <c r="M94" s="50">
        <f>L94+C94</f>
        <v>187</v>
      </c>
      <c r="N94" s="226"/>
      <c r="O94" s="227"/>
      <c r="P94" s="98">
        <v>146</v>
      </c>
      <c r="Q94" s="50">
        <f>P94+C94</f>
        <v>174</v>
      </c>
      <c r="R94" s="226"/>
      <c r="S94" s="227"/>
      <c r="T94" s="98">
        <v>141</v>
      </c>
      <c r="U94" s="50">
        <f>T94+C94</f>
        <v>169</v>
      </c>
      <c r="V94" s="226"/>
      <c r="W94" s="227"/>
      <c r="X94" s="46">
        <f t="shared" si="2"/>
        <v>914</v>
      </c>
      <c r="Y94" s="106">
        <f>D94+H94+L94+P94+T94</f>
        <v>774</v>
      </c>
      <c r="Z94" s="67">
        <f>AVERAGE(E94,I94,M94,Q94,U94)</f>
        <v>182.8</v>
      </c>
      <c r="AA94" s="143">
        <f>AVERAGE(E94,I94,M94,Q94,U94)-C94</f>
        <v>154.8</v>
      </c>
      <c r="AB94" s="220"/>
    </row>
    <row r="95" spans="1:28" s="38" customFormat="1" ht="15.75" customHeight="1" thickBot="1">
      <c r="A95" s="229" t="s">
        <v>290</v>
      </c>
      <c r="B95" s="230"/>
      <c r="C95" s="160">
        <v>43</v>
      </c>
      <c r="D95" s="60">
        <v>142</v>
      </c>
      <c r="E95" s="50">
        <f>D95+C95</f>
        <v>185</v>
      </c>
      <c r="F95" s="204"/>
      <c r="G95" s="228"/>
      <c r="H95" s="99">
        <v>132</v>
      </c>
      <c r="I95" s="46">
        <f>H95+C95</f>
        <v>175</v>
      </c>
      <c r="J95" s="204"/>
      <c r="K95" s="228"/>
      <c r="L95" s="99">
        <v>161</v>
      </c>
      <c r="M95" s="50">
        <f>L95+C95</f>
        <v>204</v>
      </c>
      <c r="N95" s="204"/>
      <c r="O95" s="228"/>
      <c r="P95" s="99">
        <v>148</v>
      </c>
      <c r="Q95" s="50">
        <f>P95+C95</f>
        <v>191</v>
      </c>
      <c r="R95" s="204"/>
      <c r="S95" s="228"/>
      <c r="T95" s="99">
        <v>134</v>
      </c>
      <c r="U95" s="50">
        <f>T95+C95</f>
        <v>177</v>
      </c>
      <c r="V95" s="204"/>
      <c r="W95" s="228"/>
      <c r="X95" s="47">
        <f t="shared" si="2"/>
        <v>932</v>
      </c>
      <c r="Y95" s="107">
        <f>D95+H95+L95+P95+T95</f>
        <v>717</v>
      </c>
      <c r="Z95" s="68">
        <f>AVERAGE(E95,I95,M95,Q95,U95)</f>
        <v>186.4</v>
      </c>
      <c r="AA95" s="144">
        <f>AVERAGE(E95,I95,M95,Q95,U95)-C95</f>
        <v>143.4</v>
      </c>
      <c r="AB95" s="221"/>
    </row>
    <row r="96" spans="1:28" s="38" customFormat="1" ht="42" customHeight="1">
      <c r="A96" s="217" t="s">
        <v>73</v>
      </c>
      <c r="B96" s="218"/>
      <c r="C96" s="158">
        <f>SUM(C97:C99)</f>
        <v>99</v>
      </c>
      <c r="D96" s="62">
        <f>SUM(D97:D99)</f>
        <v>388</v>
      </c>
      <c r="E96" s="45">
        <f>SUM(E97:E99)</f>
        <v>487</v>
      </c>
      <c r="F96" s="45">
        <f>E76</f>
        <v>599</v>
      </c>
      <c r="G96" s="42" t="str">
        <f>A76</f>
        <v>LATER</v>
      </c>
      <c r="H96" s="62">
        <f>SUM(H97:H99)</f>
        <v>464</v>
      </c>
      <c r="I96" s="45">
        <f>SUM(I97:I99)</f>
        <v>563</v>
      </c>
      <c r="J96" s="45">
        <f>I84</f>
        <v>559</v>
      </c>
      <c r="K96" s="42" t="str">
        <f>A84</f>
        <v>NOOBEL</v>
      </c>
      <c r="L96" s="133">
        <f>SUM(L97:L99)</f>
        <v>383</v>
      </c>
      <c r="M96" s="49">
        <f>SUM(M97:M99)</f>
        <v>482</v>
      </c>
      <c r="N96" s="45">
        <f>M92</f>
        <v>562</v>
      </c>
      <c r="O96" s="42" t="str">
        <f>A92</f>
        <v>Näpi Saeveski</v>
      </c>
      <c r="P96" s="45">
        <f>SUM(P97:P99)</f>
        <v>471</v>
      </c>
      <c r="Q96" s="49">
        <f>SUM(Q97:Q99)</f>
        <v>570</v>
      </c>
      <c r="R96" s="45">
        <f>Q80</f>
        <v>608</v>
      </c>
      <c r="S96" s="42" t="str">
        <f>A80</f>
        <v>Rakvere Soojus</v>
      </c>
      <c r="T96" s="133">
        <f>SUM(T97:T99)</f>
        <v>400</v>
      </c>
      <c r="U96" s="49">
        <f>SUM(U97:U99)</f>
        <v>499</v>
      </c>
      <c r="V96" s="45">
        <f>U88</f>
        <v>535</v>
      </c>
      <c r="W96" s="42" t="str">
        <f>A88</f>
        <v>Wiru Auto</v>
      </c>
      <c r="X96" s="36">
        <f t="shared" si="2"/>
        <v>2601</v>
      </c>
      <c r="Y96" s="105">
        <f>SUM(Y97:Y99)</f>
        <v>2106</v>
      </c>
      <c r="Z96" s="65">
        <f>AVERAGE(Z97,Z98,Z99)</f>
        <v>173.4</v>
      </c>
      <c r="AA96" s="142">
        <f>AVERAGE(AA97,AA98,AA99)</f>
        <v>140.4</v>
      </c>
      <c r="AB96" s="219">
        <f>F97+J97+N97+R97+V97</f>
        <v>1</v>
      </c>
    </row>
    <row r="97" spans="1:28" s="38" customFormat="1" ht="15.75" customHeight="1">
      <c r="A97" s="222" t="s">
        <v>92</v>
      </c>
      <c r="B97" s="223"/>
      <c r="C97" s="159">
        <v>57</v>
      </c>
      <c r="D97" s="59">
        <v>91</v>
      </c>
      <c r="E97" s="50">
        <f>D97+C97</f>
        <v>148</v>
      </c>
      <c r="F97" s="224">
        <v>0</v>
      </c>
      <c r="G97" s="225"/>
      <c r="H97" s="97">
        <v>125</v>
      </c>
      <c r="I97" s="46">
        <f>H97+C97</f>
        <v>182</v>
      </c>
      <c r="J97" s="224">
        <v>1</v>
      </c>
      <c r="K97" s="225"/>
      <c r="L97" s="97">
        <v>117</v>
      </c>
      <c r="M97" s="50">
        <f>L97+C97</f>
        <v>174</v>
      </c>
      <c r="N97" s="224">
        <v>0</v>
      </c>
      <c r="O97" s="225"/>
      <c r="P97" s="97">
        <v>113</v>
      </c>
      <c r="Q97" s="50">
        <f>P97+C97</f>
        <v>170</v>
      </c>
      <c r="R97" s="224">
        <v>0</v>
      </c>
      <c r="S97" s="225"/>
      <c r="T97" s="97">
        <v>121</v>
      </c>
      <c r="U97" s="50">
        <f>T97+C97</f>
        <v>178</v>
      </c>
      <c r="V97" s="224">
        <v>0</v>
      </c>
      <c r="W97" s="225"/>
      <c r="X97" s="46">
        <f t="shared" si="2"/>
        <v>852</v>
      </c>
      <c r="Y97" s="106">
        <f>D97+H97+L97+P97+T97</f>
        <v>567</v>
      </c>
      <c r="Z97" s="67">
        <f>AVERAGE(E97,I97,M97,Q97,U97)</f>
        <v>170.4</v>
      </c>
      <c r="AA97" s="143">
        <f>AVERAGE(E97,I97,M97,Q97,U97)-C97</f>
        <v>113.4</v>
      </c>
      <c r="AB97" s="220"/>
    </row>
    <row r="98" spans="1:28" s="38" customFormat="1" ht="15.75" customHeight="1">
      <c r="A98" s="222" t="s">
        <v>93</v>
      </c>
      <c r="B98" s="223"/>
      <c r="C98" s="159">
        <v>13</v>
      </c>
      <c r="D98" s="59">
        <v>165</v>
      </c>
      <c r="E98" s="50">
        <f>D98+C98</f>
        <v>178</v>
      </c>
      <c r="F98" s="226"/>
      <c r="G98" s="227"/>
      <c r="H98" s="98">
        <v>180</v>
      </c>
      <c r="I98" s="46">
        <f>H98+C98</f>
        <v>193</v>
      </c>
      <c r="J98" s="226"/>
      <c r="K98" s="227"/>
      <c r="L98" s="98">
        <v>127</v>
      </c>
      <c r="M98" s="50">
        <f>L98+C98</f>
        <v>140</v>
      </c>
      <c r="N98" s="226"/>
      <c r="O98" s="227"/>
      <c r="P98" s="98">
        <v>212</v>
      </c>
      <c r="Q98" s="50">
        <f>P98+C98</f>
        <v>225</v>
      </c>
      <c r="R98" s="226"/>
      <c r="S98" s="227"/>
      <c r="T98" s="98">
        <v>133</v>
      </c>
      <c r="U98" s="50">
        <f>T98+C98</f>
        <v>146</v>
      </c>
      <c r="V98" s="226"/>
      <c r="W98" s="227"/>
      <c r="X98" s="46">
        <f t="shared" si="2"/>
        <v>882</v>
      </c>
      <c r="Y98" s="106">
        <f>D98+H98+L98+P98+T98</f>
        <v>817</v>
      </c>
      <c r="Z98" s="67">
        <f>AVERAGE(E98,I98,M98,Q98,U98)</f>
        <v>176.4</v>
      </c>
      <c r="AA98" s="143">
        <f>AVERAGE(E98,I98,M98,Q98,U98)-C98</f>
        <v>163.4</v>
      </c>
      <c r="AB98" s="220"/>
    </row>
    <row r="99" spans="1:28" s="38" customFormat="1" ht="15.75" customHeight="1" thickBot="1">
      <c r="A99" s="229" t="s">
        <v>94</v>
      </c>
      <c r="B99" s="230"/>
      <c r="C99" s="160">
        <v>29</v>
      </c>
      <c r="D99" s="60">
        <v>132</v>
      </c>
      <c r="E99" s="50">
        <f>D99+C99</f>
        <v>161</v>
      </c>
      <c r="F99" s="204"/>
      <c r="G99" s="228"/>
      <c r="H99" s="99">
        <v>159</v>
      </c>
      <c r="I99" s="46">
        <f>H99+C99</f>
        <v>188</v>
      </c>
      <c r="J99" s="204"/>
      <c r="K99" s="228"/>
      <c r="L99" s="99">
        <v>139</v>
      </c>
      <c r="M99" s="50">
        <f>L99+C99</f>
        <v>168</v>
      </c>
      <c r="N99" s="204"/>
      <c r="O99" s="228"/>
      <c r="P99" s="99">
        <v>146</v>
      </c>
      <c r="Q99" s="50">
        <f>P99+C99</f>
        <v>175</v>
      </c>
      <c r="R99" s="204"/>
      <c r="S99" s="228"/>
      <c r="T99" s="99">
        <v>146</v>
      </c>
      <c r="U99" s="50">
        <f>T99+C99</f>
        <v>175</v>
      </c>
      <c r="V99" s="204"/>
      <c r="W99" s="228"/>
      <c r="X99" s="47">
        <f t="shared" si="2"/>
        <v>867</v>
      </c>
      <c r="Y99" s="107">
        <f>D99+H99+L99+P99+T99</f>
        <v>722</v>
      </c>
      <c r="Z99" s="68">
        <f>AVERAGE(E99,I99,M99,Q99,U99)</f>
        <v>173.4</v>
      </c>
      <c r="AA99" s="144">
        <f>AVERAGE(E99,I99,M99,Q99,U99)-C99</f>
        <v>144.4</v>
      </c>
      <c r="AB99" s="221"/>
    </row>
    <row r="101" ht="5.25" customHeight="1"/>
    <row r="102" spans="1:28" s="40" customFormat="1" ht="3.75" customHeight="1">
      <c r="A102" s="207" t="s">
        <v>303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4"/>
      <c r="W102" s="25"/>
      <c r="Y102" s="57"/>
      <c r="Z102" s="41"/>
      <c r="AA102" s="139"/>
      <c r="AB102" s="25"/>
    </row>
    <row r="103" spans="1:28" s="40" customFormat="1" ht="6" customHeight="1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4"/>
      <c r="W103" s="25"/>
      <c r="Y103" s="57"/>
      <c r="Z103" s="41"/>
      <c r="AA103" s="139"/>
      <c r="AB103" s="25"/>
    </row>
    <row r="104" spans="1:28" s="40" customFormat="1" ht="23.25" customHeight="1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5"/>
      <c r="W104" s="25"/>
      <c r="Y104" s="57"/>
      <c r="Z104" s="41"/>
      <c r="AA104" s="139"/>
      <c r="AB104" s="25"/>
    </row>
    <row r="105" spans="1:28" s="31" customFormat="1" ht="15.75" customHeight="1">
      <c r="A105" s="209" t="s">
        <v>0</v>
      </c>
      <c r="B105" s="210"/>
      <c r="C105" s="156" t="s">
        <v>39</v>
      </c>
      <c r="D105" s="55"/>
      <c r="E105" s="27" t="s">
        <v>1</v>
      </c>
      <c r="F105" s="211" t="s">
        <v>2</v>
      </c>
      <c r="G105" s="212"/>
      <c r="H105" s="94"/>
      <c r="I105" s="27" t="s">
        <v>3</v>
      </c>
      <c r="J105" s="211" t="s">
        <v>2</v>
      </c>
      <c r="K105" s="212"/>
      <c r="L105" s="94"/>
      <c r="M105" s="27" t="s">
        <v>4</v>
      </c>
      <c r="N105" s="211" t="s">
        <v>2</v>
      </c>
      <c r="O105" s="212"/>
      <c r="P105" s="94"/>
      <c r="Q105" s="27" t="s">
        <v>5</v>
      </c>
      <c r="R105" s="211" t="s">
        <v>2</v>
      </c>
      <c r="S105" s="212"/>
      <c r="T105" s="94"/>
      <c r="U105" s="27" t="s">
        <v>6</v>
      </c>
      <c r="V105" s="211" t="s">
        <v>2</v>
      </c>
      <c r="W105" s="212"/>
      <c r="X105" s="28" t="s">
        <v>7</v>
      </c>
      <c r="Y105" s="104"/>
      <c r="Z105" s="29" t="s">
        <v>40</v>
      </c>
      <c r="AA105" s="140" t="s">
        <v>42</v>
      </c>
      <c r="AB105" s="30" t="s">
        <v>7</v>
      </c>
    </row>
    <row r="106" spans="1:28" s="31" customFormat="1" ht="15.75" customHeight="1" thickBot="1">
      <c r="A106" s="213" t="s">
        <v>9</v>
      </c>
      <c r="B106" s="214"/>
      <c r="C106" s="157"/>
      <c r="D106" s="56"/>
      <c r="E106" s="32" t="s">
        <v>10</v>
      </c>
      <c r="F106" s="211" t="s">
        <v>11</v>
      </c>
      <c r="G106" s="212"/>
      <c r="H106" s="95"/>
      <c r="I106" s="32" t="s">
        <v>10</v>
      </c>
      <c r="J106" s="215" t="s">
        <v>11</v>
      </c>
      <c r="K106" s="216"/>
      <c r="L106" s="95"/>
      <c r="M106" s="32" t="s">
        <v>10</v>
      </c>
      <c r="N106" s="215" t="s">
        <v>11</v>
      </c>
      <c r="O106" s="216"/>
      <c r="P106" s="95"/>
      <c r="Q106" s="32" t="s">
        <v>10</v>
      </c>
      <c r="R106" s="215" t="s">
        <v>11</v>
      </c>
      <c r="S106" s="216"/>
      <c r="T106" s="95"/>
      <c r="U106" s="32" t="s">
        <v>10</v>
      </c>
      <c r="V106" s="215" t="s">
        <v>11</v>
      </c>
      <c r="W106" s="216"/>
      <c r="X106" s="33" t="s">
        <v>10</v>
      </c>
      <c r="Y106" s="134" t="s">
        <v>287</v>
      </c>
      <c r="Z106" s="34" t="s">
        <v>41</v>
      </c>
      <c r="AA106" s="141" t="s">
        <v>43</v>
      </c>
      <c r="AB106" s="35" t="s">
        <v>12</v>
      </c>
    </row>
    <row r="107" spans="1:28" s="38" customFormat="1" ht="42" customHeight="1">
      <c r="A107" s="217" t="s">
        <v>140</v>
      </c>
      <c r="B107" s="218"/>
      <c r="C107" s="158">
        <f>SUM(C108:C110)</f>
        <v>129</v>
      </c>
      <c r="D107" s="62">
        <f>SUM(D108:D110)</f>
        <v>354</v>
      </c>
      <c r="E107" s="63">
        <f>SUM(E108:E110)</f>
        <v>483</v>
      </c>
      <c r="F107" s="46">
        <f>E127</f>
        <v>504</v>
      </c>
      <c r="G107" s="64" t="str">
        <f>A127</f>
        <v>FEB</v>
      </c>
      <c r="H107" s="62">
        <f>SUM(H108:H110)</f>
        <v>430</v>
      </c>
      <c r="I107" s="49">
        <f>SUM(I108:I110)</f>
        <v>559</v>
      </c>
      <c r="J107" s="49">
        <f>I123</f>
        <v>526</v>
      </c>
      <c r="K107" s="42" t="str">
        <f>A123</f>
        <v>Näpi Saeveski 2</v>
      </c>
      <c r="L107" s="58">
        <f>SUM(L108:L110)</f>
        <v>448</v>
      </c>
      <c r="M107" s="45">
        <f>SUM(M108:M110)</f>
        <v>577</v>
      </c>
      <c r="N107" s="45">
        <f>M119</f>
        <v>557</v>
      </c>
      <c r="O107" s="42" t="str">
        <f>A119</f>
        <v>PLANRAY</v>
      </c>
      <c r="P107" s="45">
        <f>SUM(P108:P110)</f>
        <v>345</v>
      </c>
      <c r="Q107" s="45">
        <f>SUM(Q108:Q110)</f>
        <v>474</v>
      </c>
      <c r="R107" s="45">
        <f>Q115</f>
        <v>516</v>
      </c>
      <c r="S107" s="42" t="str">
        <f>A115</f>
        <v>KUNDA TRANS</v>
      </c>
      <c r="T107" s="133">
        <f>SUM(T108:T110)</f>
        <v>365</v>
      </c>
      <c r="U107" s="45">
        <f>SUM(U108:U110)</f>
        <v>494</v>
      </c>
      <c r="V107" s="45">
        <f>U111</f>
        <v>521</v>
      </c>
      <c r="W107" s="42" t="str">
        <f>A111</f>
        <v>VÄRSKA VESI</v>
      </c>
      <c r="X107" s="36">
        <f aca="true" t="shared" si="3" ref="X107:X130">E107+I107+M107+Q107+U107</f>
        <v>2587</v>
      </c>
      <c r="Y107" s="105">
        <f>SUM(Y108:Y110)</f>
        <v>1942</v>
      </c>
      <c r="Z107" s="37">
        <f>AVERAGE(Z108,Z109,Z110)</f>
        <v>172.46666666666667</v>
      </c>
      <c r="AA107" s="142">
        <f>AVERAGE(AA108,AA109,AA110)</f>
        <v>129.46666666666667</v>
      </c>
      <c r="AB107" s="219">
        <f>F108+J108+N108+R108+V108</f>
        <v>2</v>
      </c>
    </row>
    <row r="108" spans="1:28" s="38" customFormat="1" ht="15.75" customHeight="1">
      <c r="A108" s="222" t="s">
        <v>144</v>
      </c>
      <c r="B108" s="223"/>
      <c r="C108" s="159">
        <v>34</v>
      </c>
      <c r="D108" s="59">
        <v>132</v>
      </c>
      <c r="E108" s="50">
        <f>D108+C108</f>
        <v>166</v>
      </c>
      <c r="F108" s="224">
        <v>0</v>
      </c>
      <c r="G108" s="225"/>
      <c r="H108" s="97">
        <v>114</v>
      </c>
      <c r="I108" s="46">
        <f>H108+C108</f>
        <v>148</v>
      </c>
      <c r="J108" s="224">
        <v>1</v>
      </c>
      <c r="K108" s="225"/>
      <c r="L108" s="97">
        <v>155</v>
      </c>
      <c r="M108" s="50">
        <f>L108+C108</f>
        <v>189</v>
      </c>
      <c r="N108" s="224">
        <v>1</v>
      </c>
      <c r="O108" s="225"/>
      <c r="P108" s="97">
        <v>119</v>
      </c>
      <c r="Q108" s="50">
        <f>P108+C108</f>
        <v>153</v>
      </c>
      <c r="R108" s="224">
        <v>0</v>
      </c>
      <c r="S108" s="225"/>
      <c r="T108" s="97">
        <v>142</v>
      </c>
      <c r="U108" s="50">
        <f>T108+C108</f>
        <v>176</v>
      </c>
      <c r="V108" s="224">
        <v>0</v>
      </c>
      <c r="W108" s="225"/>
      <c r="X108" s="46">
        <f t="shared" si="3"/>
        <v>832</v>
      </c>
      <c r="Y108" s="106">
        <f>D108+H108+L108+P108+T108</f>
        <v>662</v>
      </c>
      <c r="Z108" s="67">
        <f>AVERAGE(E108,I108,M108,Q108,U108)</f>
        <v>166.4</v>
      </c>
      <c r="AA108" s="143">
        <f>AVERAGE(E108,I108,M108,Q108,U108)-C108</f>
        <v>132.4</v>
      </c>
      <c r="AB108" s="220"/>
    </row>
    <row r="109" spans="1:28" s="38" customFormat="1" ht="15.75" customHeight="1">
      <c r="A109" s="222" t="s">
        <v>145</v>
      </c>
      <c r="B109" s="223"/>
      <c r="C109" s="159">
        <v>53</v>
      </c>
      <c r="D109" s="59">
        <v>96</v>
      </c>
      <c r="E109" s="50">
        <f>D109+C109</f>
        <v>149</v>
      </c>
      <c r="F109" s="226"/>
      <c r="G109" s="227"/>
      <c r="H109" s="98">
        <v>145</v>
      </c>
      <c r="I109" s="46">
        <f>H109+C109</f>
        <v>198</v>
      </c>
      <c r="J109" s="226"/>
      <c r="K109" s="227"/>
      <c r="L109" s="98">
        <v>118</v>
      </c>
      <c r="M109" s="50">
        <f>L109+C109</f>
        <v>171</v>
      </c>
      <c r="N109" s="226"/>
      <c r="O109" s="227"/>
      <c r="P109" s="98">
        <v>89</v>
      </c>
      <c r="Q109" s="50">
        <f>P109+C109</f>
        <v>142</v>
      </c>
      <c r="R109" s="226"/>
      <c r="S109" s="227"/>
      <c r="T109" s="98">
        <v>100</v>
      </c>
      <c r="U109" s="50">
        <f>T109+C109</f>
        <v>153</v>
      </c>
      <c r="V109" s="226"/>
      <c r="W109" s="227"/>
      <c r="X109" s="46">
        <f t="shared" si="3"/>
        <v>813</v>
      </c>
      <c r="Y109" s="106">
        <f>D109+H109+L109+P109+T109</f>
        <v>548</v>
      </c>
      <c r="Z109" s="67">
        <f>AVERAGE(E109,I109,M109,Q109,U109)</f>
        <v>162.6</v>
      </c>
      <c r="AA109" s="143">
        <f>AVERAGE(E109,I109,M109,Q109,U109)-C109</f>
        <v>109.6</v>
      </c>
      <c r="AB109" s="220"/>
    </row>
    <row r="110" spans="1:28" s="38" customFormat="1" ht="16.5" customHeight="1" thickBot="1">
      <c r="A110" s="229" t="s">
        <v>146</v>
      </c>
      <c r="B110" s="230"/>
      <c r="C110" s="160">
        <v>42</v>
      </c>
      <c r="D110" s="60">
        <v>126</v>
      </c>
      <c r="E110" s="50">
        <f>D110+C110</f>
        <v>168</v>
      </c>
      <c r="F110" s="204"/>
      <c r="G110" s="228"/>
      <c r="H110" s="99">
        <v>171</v>
      </c>
      <c r="I110" s="46">
        <f>H110+C110</f>
        <v>213</v>
      </c>
      <c r="J110" s="204"/>
      <c r="K110" s="228"/>
      <c r="L110" s="99">
        <v>175</v>
      </c>
      <c r="M110" s="50">
        <f>L110+C110</f>
        <v>217</v>
      </c>
      <c r="N110" s="204"/>
      <c r="O110" s="228"/>
      <c r="P110" s="99">
        <v>137</v>
      </c>
      <c r="Q110" s="50">
        <f>P110+C110</f>
        <v>179</v>
      </c>
      <c r="R110" s="204"/>
      <c r="S110" s="228"/>
      <c r="T110" s="99">
        <v>123</v>
      </c>
      <c r="U110" s="50">
        <f>T110+C110</f>
        <v>165</v>
      </c>
      <c r="V110" s="204"/>
      <c r="W110" s="228"/>
      <c r="X110" s="47">
        <f t="shared" si="3"/>
        <v>942</v>
      </c>
      <c r="Y110" s="107">
        <f>D110+H110+L110+P110+T110</f>
        <v>732</v>
      </c>
      <c r="Z110" s="68">
        <f>AVERAGE(E110,I110,M110,Q110,U110)</f>
        <v>188.4</v>
      </c>
      <c r="AA110" s="144">
        <f>AVERAGE(E110,I110,M110,Q110,U110)-C110</f>
        <v>146.4</v>
      </c>
      <c r="AB110" s="221"/>
    </row>
    <row r="111" spans="1:28" s="38" customFormat="1" ht="41.25" customHeight="1">
      <c r="A111" s="217" t="s">
        <v>192</v>
      </c>
      <c r="B111" s="218"/>
      <c r="C111" s="158">
        <f>SUM(C112:C114)</f>
        <v>79</v>
      </c>
      <c r="D111" s="62">
        <f>SUM(D112:D114)</f>
        <v>535</v>
      </c>
      <c r="E111" s="45">
        <f>SUM(E112:E114)</f>
        <v>614</v>
      </c>
      <c r="F111" s="45">
        <f>E123</f>
        <v>522</v>
      </c>
      <c r="G111" s="42" t="str">
        <f>A123</f>
        <v>Näpi Saeveski 2</v>
      </c>
      <c r="H111" s="62">
        <f>SUM(H112:H114)</f>
        <v>398</v>
      </c>
      <c r="I111" s="45">
        <f>SUM(I112:I114)</f>
        <v>477</v>
      </c>
      <c r="J111" s="45">
        <f>I119</f>
        <v>470</v>
      </c>
      <c r="K111" s="42" t="str">
        <f>A119</f>
        <v>PLANRAY</v>
      </c>
      <c r="L111" s="133">
        <f>SUM(L112:L114)</f>
        <v>594</v>
      </c>
      <c r="M111" s="49">
        <f>SUM(M112:M114)</f>
        <v>673</v>
      </c>
      <c r="N111" s="45">
        <f>M115</f>
        <v>559</v>
      </c>
      <c r="O111" s="42" t="str">
        <f>A115</f>
        <v>KUNDA TRANS</v>
      </c>
      <c r="P111" s="45">
        <f>SUM(P112:P114)</f>
        <v>425</v>
      </c>
      <c r="Q111" s="49">
        <f>SUM(Q112:Q114)</f>
        <v>504</v>
      </c>
      <c r="R111" s="45">
        <f>Q127</f>
        <v>545</v>
      </c>
      <c r="S111" s="42" t="str">
        <f>A127</f>
        <v>FEB</v>
      </c>
      <c r="T111" s="133">
        <f>SUM(T112:T114)</f>
        <v>442</v>
      </c>
      <c r="U111" s="49">
        <f>SUM(U112:U114)</f>
        <v>521</v>
      </c>
      <c r="V111" s="45">
        <f>U107</f>
        <v>494</v>
      </c>
      <c r="W111" s="42" t="str">
        <f>A107</f>
        <v>LAJOS 2</v>
      </c>
      <c r="X111" s="36">
        <f t="shared" si="3"/>
        <v>2789</v>
      </c>
      <c r="Y111" s="105">
        <f>SUM(Y112:Y114)</f>
        <v>2394</v>
      </c>
      <c r="Z111" s="65">
        <f>AVERAGE(Z112,Z113,Z114)</f>
        <v>185.9333333333333</v>
      </c>
      <c r="AA111" s="142">
        <f>AVERAGE(AA112,AA113,AA114)</f>
        <v>159.6</v>
      </c>
      <c r="AB111" s="219">
        <f>F112+J112+N112+R112+V112</f>
        <v>4</v>
      </c>
    </row>
    <row r="112" spans="1:28" s="38" customFormat="1" ht="15.75" customHeight="1">
      <c r="A112" s="222" t="s">
        <v>176</v>
      </c>
      <c r="B112" s="223"/>
      <c r="C112" s="159">
        <v>25</v>
      </c>
      <c r="D112" s="59">
        <v>172</v>
      </c>
      <c r="E112" s="50">
        <f>D112+C112</f>
        <v>197</v>
      </c>
      <c r="F112" s="224">
        <v>1</v>
      </c>
      <c r="G112" s="225"/>
      <c r="H112" s="97">
        <v>133</v>
      </c>
      <c r="I112" s="46">
        <f>H112+C112</f>
        <v>158</v>
      </c>
      <c r="J112" s="224">
        <v>1</v>
      </c>
      <c r="K112" s="225"/>
      <c r="L112" s="97">
        <v>216</v>
      </c>
      <c r="M112" s="50">
        <f>L112+C112</f>
        <v>241</v>
      </c>
      <c r="N112" s="224">
        <v>1</v>
      </c>
      <c r="O112" s="225"/>
      <c r="P112" s="97">
        <v>147</v>
      </c>
      <c r="Q112" s="50">
        <f>P112+C112</f>
        <v>172</v>
      </c>
      <c r="R112" s="224">
        <v>0</v>
      </c>
      <c r="S112" s="225"/>
      <c r="T112" s="97">
        <v>161</v>
      </c>
      <c r="U112" s="50">
        <f>T112+C112</f>
        <v>186</v>
      </c>
      <c r="V112" s="224">
        <v>1</v>
      </c>
      <c r="W112" s="225"/>
      <c r="X112" s="46">
        <f t="shared" si="3"/>
        <v>954</v>
      </c>
      <c r="Y112" s="106">
        <f>D112+H112+L112+P112+T112</f>
        <v>829</v>
      </c>
      <c r="Z112" s="67">
        <f>AVERAGE(E112,I112,M112,Q112,U112)</f>
        <v>190.8</v>
      </c>
      <c r="AA112" s="143">
        <f>AVERAGE(E112,I112,M112,Q112,U112)-C112</f>
        <v>165.8</v>
      </c>
      <c r="AB112" s="220"/>
    </row>
    <row r="113" spans="1:28" s="38" customFormat="1" ht="15.75" customHeight="1">
      <c r="A113" s="222" t="s">
        <v>177</v>
      </c>
      <c r="B113" s="223"/>
      <c r="C113" s="159">
        <v>33</v>
      </c>
      <c r="D113" s="59">
        <v>195</v>
      </c>
      <c r="E113" s="50">
        <f>D113+C113</f>
        <v>228</v>
      </c>
      <c r="F113" s="226"/>
      <c r="G113" s="227"/>
      <c r="H113" s="98">
        <v>150</v>
      </c>
      <c r="I113" s="46">
        <f>H113+C113</f>
        <v>183</v>
      </c>
      <c r="J113" s="226"/>
      <c r="K113" s="227"/>
      <c r="L113" s="98">
        <v>189</v>
      </c>
      <c r="M113" s="50">
        <f>L113+C113</f>
        <v>222</v>
      </c>
      <c r="N113" s="226"/>
      <c r="O113" s="227"/>
      <c r="P113" s="98">
        <v>111</v>
      </c>
      <c r="Q113" s="50">
        <f>P113+C113</f>
        <v>144</v>
      </c>
      <c r="R113" s="226"/>
      <c r="S113" s="227"/>
      <c r="T113" s="98">
        <v>128</v>
      </c>
      <c r="U113" s="50">
        <f>T113+C113</f>
        <v>161</v>
      </c>
      <c r="V113" s="226"/>
      <c r="W113" s="227"/>
      <c r="X113" s="46">
        <f t="shared" si="3"/>
        <v>938</v>
      </c>
      <c r="Y113" s="106">
        <f>D113+H113+L113+P113+T113</f>
        <v>773</v>
      </c>
      <c r="Z113" s="67">
        <f>AVERAGE(E113,I113,M113,Q113,U113)</f>
        <v>187.6</v>
      </c>
      <c r="AA113" s="143">
        <f>AVERAGE(E113,I113,M113,Q113,U113)-C113</f>
        <v>154.6</v>
      </c>
      <c r="AB113" s="220"/>
    </row>
    <row r="114" spans="1:28" s="38" customFormat="1" ht="15.75" customHeight="1" thickBot="1">
      <c r="A114" s="229" t="s">
        <v>178</v>
      </c>
      <c r="B114" s="230"/>
      <c r="C114" s="160">
        <v>21</v>
      </c>
      <c r="D114" s="60">
        <v>168</v>
      </c>
      <c r="E114" s="50">
        <f>D114+C114</f>
        <v>189</v>
      </c>
      <c r="F114" s="204"/>
      <c r="G114" s="228"/>
      <c r="H114" s="99">
        <v>115</v>
      </c>
      <c r="I114" s="46">
        <f>H114+C114</f>
        <v>136</v>
      </c>
      <c r="J114" s="204"/>
      <c r="K114" s="228"/>
      <c r="L114" s="99">
        <v>189</v>
      </c>
      <c r="M114" s="50">
        <f>L114+C114</f>
        <v>210</v>
      </c>
      <c r="N114" s="204"/>
      <c r="O114" s="228"/>
      <c r="P114" s="99">
        <v>167</v>
      </c>
      <c r="Q114" s="50">
        <f>P114+C114</f>
        <v>188</v>
      </c>
      <c r="R114" s="204"/>
      <c r="S114" s="228"/>
      <c r="T114" s="99">
        <v>153</v>
      </c>
      <c r="U114" s="50">
        <f>T114+C114</f>
        <v>174</v>
      </c>
      <c r="V114" s="204"/>
      <c r="W114" s="228"/>
      <c r="X114" s="47">
        <f t="shared" si="3"/>
        <v>897</v>
      </c>
      <c r="Y114" s="107">
        <f>D114+H114+L114+P114+T114</f>
        <v>792</v>
      </c>
      <c r="Z114" s="68">
        <f>AVERAGE(E114,I114,M114,Q114,U114)</f>
        <v>179.4</v>
      </c>
      <c r="AA114" s="144">
        <f>AVERAGE(E114,I114,M114,Q114,U114)-C114</f>
        <v>158.4</v>
      </c>
      <c r="AB114" s="221"/>
    </row>
    <row r="115" spans="1:28" s="38" customFormat="1" ht="47.25" customHeight="1">
      <c r="A115" s="217" t="s">
        <v>200</v>
      </c>
      <c r="B115" s="218"/>
      <c r="C115" s="158">
        <f>SUM(C116:C118)</f>
        <v>66</v>
      </c>
      <c r="D115" s="62">
        <f>SUM(D116:D118)</f>
        <v>526</v>
      </c>
      <c r="E115" s="45">
        <f>SUM(E116:E118)</f>
        <v>592</v>
      </c>
      <c r="F115" s="45">
        <f>E119</f>
        <v>501</v>
      </c>
      <c r="G115" s="42" t="str">
        <f>A119</f>
        <v>PLANRAY</v>
      </c>
      <c r="H115" s="62">
        <f>SUM(H116:H118)</f>
        <v>437</v>
      </c>
      <c r="I115" s="45">
        <f>SUM(I116:I118)</f>
        <v>503</v>
      </c>
      <c r="J115" s="45">
        <f>I127</f>
        <v>531</v>
      </c>
      <c r="K115" s="42" t="str">
        <f>A127</f>
        <v>FEB</v>
      </c>
      <c r="L115" s="133">
        <f>SUM(L116:L118)</f>
        <v>493</v>
      </c>
      <c r="M115" s="69">
        <f>SUM(M116:M118)</f>
        <v>559</v>
      </c>
      <c r="N115" s="45">
        <f>M111</f>
        <v>673</v>
      </c>
      <c r="O115" s="42" t="str">
        <f>A111</f>
        <v>VÄRSKA VESI</v>
      </c>
      <c r="P115" s="45">
        <f>SUM(P116:P118)</f>
        <v>450</v>
      </c>
      <c r="Q115" s="49">
        <f>SUM(Q116:Q118)</f>
        <v>516</v>
      </c>
      <c r="R115" s="45">
        <f>Q107</f>
        <v>474</v>
      </c>
      <c r="S115" s="42" t="str">
        <f>A107</f>
        <v>LAJOS 2</v>
      </c>
      <c r="T115" s="133">
        <f>SUM(T116:T118)</f>
        <v>514</v>
      </c>
      <c r="U115" s="69">
        <f>SUM(U116:U118)</f>
        <v>580</v>
      </c>
      <c r="V115" s="45">
        <f>U123</f>
        <v>518</v>
      </c>
      <c r="W115" s="42" t="str">
        <f>A123</f>
        <v>Näpi Saeveski 2</v>
      </c>
      <c r="X115" s="36">
        <f t="shared" si="3"/>
        <v>2750</v>
      </c>
      <c r="Y115" s="105">
        <f>SUM(Y116:Y118)</f>
        <v>2420</v>
      </c>
      <c r="Z115" s="65">
        <f>AVERAGE(Z116,Z117,Z118)</f>
        <v>183.33333333333334</v>
      </c>
      <c r="AA115" s="142">
        <f>AVERAGE(AA116,AA117,AA118)</f>
        <v>161.33333333333334</v>
      </c>
      <c r="AB115" s="219">
        <f>F116+J116+N116+R116+V116</f>
        <v>3</v>
      </c>
    </row>
    <row r="116" spans="1:28" s="38" customFormat="1" ht="15.75" customHeight="1">
      <c r="A116" s="222" t="s">
        <v>215</v>
      </c>
      <c r="B116" s="223"/>
      <c r="C116" s="159">
        <v>5</v>
      </c>
      <c r="D116" s="59">
        <v>186</v>
      </c>
      <c r="E116" s="50">
        <f>D116+C116</f>
        <v>191</v>
      </c>
      <c r="F116" s="224">
        <v>1</v>
      </c>
      <c r="G116" s="225"/>
      <c r="H116" s="97">
        <v>131</v>
      </c>
      <c r="I116" s="46">
        <f>H116+C116</f>
        <v>136</v>
      </c>
      <c r="J116" s="224">
        <v>0</v>
      </c>
      <c r="K116" s="225"/>
      <c r="L116" s="97">
        <v>190</v>
      </c>
      <c r="M116" s="50">
        <f>L116+C116</f>
        <v>195</v>
      </c>
      <c r="N116" s="224">
        <v>0</v>
      </c>
      <c r="O116" s="225"/>
      <c r="P116" s="97">
        <v>173</v>
      </c>
      <c r="Q116" s="50">
        <f>P116+C116</f>
        <v>178</v>
      </c>
      <c r="R116" s="224">
        <v>1</v>
      </c>
      <c r="S116" s="225"/>
      <c r="T116" s="97">
        <v>167</v>
      </c>
      <c r="U116" s="50">
        <f>T116+C116</f>
        <v>172</v>
      </c>
      <c r="V116" s="224">
        <v>1</v>
      </c>
      <c r="W116" s="225"/>
      <c r="X116" s="46">
        <f t="shared" si="3"/>
        <v>872</v>
      </c>
      <c r="Y116" s="106">
        <f>D116+H116+L116+P116+T116</f>
        <v>847</v>
      </c>
      <c r="Z116" s="67">
        <f>AVERAGE(E116,I116,M116,Q116,U116)</f>
        <v>174.4</v>
      </c>
      <c r="AA116" s="143">
        <f>AVERAGE(E116,I116,M116,Q116,U116)-C116</f>
        <v>169.4</v>
      </c>
      <c r="AB116" s="220"/>
    </row>
    <row r="117" spans="1:28" s="38" customFormat="1" ht="15.75" customHeight="1">
      <c r="A117" s="222" t="s">
        <v>216</v>
      </c>
      <c r="B117" s="223"/>
      <c r="C117" s="159">
        <v>22</v>
      </c>
      <c r="D117" s="59">
        <v>202</v>
      </c>
      <c r="E117" s="50">
        <f>D117+C117</f>
        <v>224</v>
      </c>
      <c r="F117" s="226"/>
      <c r="G117" s="227"/>
      <c r="H117" s="98">
        <v>147</v>
      </c>
      <c r="I117" s="46">
        <f>H117+C117</f>
        <v>169</v>
      </c>
      <c r="J117" s="226"/>
      <c r="K117" s="227"/>
      <c r="L117" s="98">
        <v>137</v>
      </c>
      <c r="M117" s="50">
        <f>L117+C117</f>
        <v>159</v>
      </c>
      <c r="N117" s="226"/>
      <c r="O117" s="227"/>
      <c r="P117" s="98">
        <v>132</v>
      </c>
      <c r="Q117" s="50">
        <f>P117+C117</f>
        <v>154</v>
      </c>
      <c r="R117" s="226"/>
      <c r="S117" s="227"/>
      <c r="T117" s="98">
        <v>156</v>
      </c>
      <c r="U117" s="50">
        <f>T117+C117</f>
        <v>178</v>
      </c>
      <c r="V117" s="226"/>
      <c r="W117" s="227"/>
      <c r="X117" s="46">
        <f t="shared" si="3"/>
        <v>884</v>
      </c>
      <c r="Y117" s="106">
        <f>D117+H117+L117+P117+T117</f>
        <v>774</v>
      </c>
      <c r="Z117" s="67">
        <f>AVERAGE(E117,I117,M117,Q117,U117)</f>
        <v>176.8</v>
      </c>
      <c r="AA117" s="143">
        <f>AVERAGE(E117,I117,M117,Q117,U117)-C117</f>
        <v>154.8</v>
      </c>
      <c r="AB117" s="220"/>
    </row>
    <row r="118" spans="1:28" s="38" customFormat="1" ht="15.75" customHeight="1" thickBot="1">
      <c r="A118" s="229" t="s">
        <v>217</v>
      </c>
      <c r="B118" s="230"/>
      <c r="C118" s="160">
        <v>39</v>
      </c>
      <c r="D118" s="60">
        <v>138</v>
      </c>
      <c r="E118" s="50">
        <f>D118+C118</f>
        <v>177</v>
      </c>
      <c r="F118" s="204"/>
      <c r="G118" s="228"/>
      <c r="H118" s="99">
        <v>159</v>
      </c>
      <c r="I118" s="46">
        <f>H118+C118</f>
        <v>198</v>
      </c>
      <c r="J118" s="204"/>
      <c r="K118" s="228"/>
      <c r="L118" s="99">
        <v>166</v>
      </c>
      <c r="M118" s="50">
        <f>L118+C118</f>
        <v>205</v>
      </c>
      <c r="N118" s="204"/>
      <c r="O118" s="228"/>
      <c r="P118" s="99">
        <v>145</v>
      </c>
      <c r="Q118" s="50">
        <f>P118+C118</f>
        <v>184</v>
      </c>
      <c r="R118" s="204"/>
      <c r="S118" s="228"/>
      <c r="T118" s="99">
        <v>191</v>
      </c>
      <c r="U118" s="50">
        <f>T118+C118</f>
        <v>230</v>
      </c>
      <c r="V118" s="204"/>
      <c r="W118" s="228"/>
      <c r="X118" s="47">
        <f t="shared" si="3"/>
        <v>994</v>
      </c>
      <c r="Y118" s="107">
        <f>D118+H118+L118+P118+T118</f>
        <v>799</v>
      </c>
      <c r="Z118" s="68">
        <f>AVERAGE(E118,I118,M118,Q118,U118)</f>
        <v>198.8</v>
      </c>
      <c r="AA118" s="144">
        <f>AVERAGE(E118,I118,M118,Q118,U118)-C118</f>
        <v>159.8</v>
      </c>
      <c r="AB118" s="221"/>
    </row>
    <row r="119" spans="1:28" s="38" customFormat="1" ht="39" customHeight="1">
      <c r="A119" s="217" t="s">
        <v>77</v>
      </c>
      <c r="B119" s="218"/>
      <c r="C119" s="158">
        <f>SUM(C120:C122)</f>
        <v>163</v>
      </c>
      <c r="D119" s="62">
        <f>SUM(D120:D122)</f>
        <v>338</v>
      </c>
      <c r="E119" s="45">
        <f>SUM(E120:E122)</f>
        <v>501</v>
      </c>
      <c r="F119" s="45">
        <f>E115</f>
        <v>592</v>
      </c>
      <c r="G119" s="42" t="str">
        <f>A115</f>
        <v>KUNDA TRANS</v>
      </c>
      <c r="H119" s="62">
        <f>SUM(H120:H122)</f>
        <v>307</v>
      </c>
      <c r="I119" s="45">
        <f>SUM(I120:I122)</f>
        <v>470</v>
      </c>
      <c r="J119" s="45">
        <f>I111</f>
        <v>477</v>
      </c>
      <c r="K119" s="42" t="str">
        <f>A111</f>
        <v>VÄRSKA VESI</v>
      </c>
      <c r="L119" s="133">
        <f>SUM(L120:L122)</f>
        <v>394</v>
      </c>
      <c r="M119" s="49">
        <f>SUM(M120:M122)</f>
        <v>557</v>
      </c>
      <c r="N119" s="45">
        <f>M107</f>
        <v>577</v>
      </c>
      <c r="O119" s="42" t="str">
        <f>A107</f>
        <v>LAJOS 2</v>
      </c>
      <c r="P119" s="45">
        <f>SUM(P120:P122)</f>
        <v>377</v>
      </c>
      <c r="Q119" s="49">
        <f>SUM(Q120:Q122)</f>
        <v>540</v>
      </c>
      <c r="R119" s="45">
        <f>Q123</f>
        <v>497</v>
      </c>
      <c r="S119" s="42" t="str">
        <f>A123</f>
        <v>Näpi Saeveski 2</v>
      </c>
      <c r="T119" s="133">
        <f>SUM(T120:T122)</f>
        <v>354</v>
      </c>
      <c r="U119" s="49">
        <f>SUM(U120:U122)</f>
        <v>517</v>
      </c>
      <c r="V119" s="45">
        <f>U127</f>
        <v>477</v>
      </c>
      <c r="W119" s="42" t="str">
        <f>A127</f>
        <v>FEB</v>
      </c>
      <c r="X119" s="36">
        <f t="shared" si="3"/>
        <v>2585</v>
      </c>
      <c r="Y119" s="105">
        <f>SUM(Y120:Y122)</f>
        <v>1770</v>
      </c>
      <c r="Z119" s="65">
        <f>AVERAGE(Z120,Z121,Z122)</f>
        <v>172.33333333333334</v>
      </c>
      <c r="AA119" s="142">
        <f>AVERAGE(AA120,AA121,AA122)</f>
        <v>118</v>
      </c>
      <c r="AB119" s="219">
        <f>F120+J120+N120+R120+V120</f>
        <v>2</v>
      </c>
    </row>
    <row r="120" spans="1:28" s="38" customFormat="1" ht="15.75" customHeight="1">
      <c r="A120" s="222" t="s">
        <v>96</v>
      </c>
      <c r="B120" s="223"/>
      <c r="C120" s="159">
        <v>54</v>
      </c>
      <c r="D120" s="59">
        <v>107</v>
      </c>
      <c r="E120" s="50">
        <f>D120+C120</f>
        <v>161</v>
      </c>
      <c r="F120" s="224">
        <v>0</v>
      </c>
      <c r="G120" s="225"/>
      <c r="H120" s="97">
        <v>123</v>
      </c>
      <c r="I120" s="46">
        <f>H120+C120</f>
        <v>177</v>
      </c>
      <c r="J120" s="224">
        <v>0</v>
      </c>
      <c r="K120" s="225"/>
      <c r="L120" s="97">
        <v>152</v>
      </c>
      <c r="M120" s="50">
        <f>L120+C120</f>
        <v>206</v>
      </c>
      <c r="N120" s="224">
        <v>0</v>
      </c>
      <c r="O120" s="225"/>
      <c r="P120" s="97">
        <v>150</v>
      </c>
      <c r="Q120" s="50">
        <f>P120+C120</f>
        <v>204</v>
      </c>
      <c r="R120" s="224">
        <v>1</v>
      </c>
      <c r="S120" s="225"/>
      <c r="T120" s="97">
        <v>118</v>
      </c>
      <c r="U120" s="50">
        <f>T120+C120</f>
        <v>172</v>
      </c>
      <c r="V120" s="224">
        <v>1</v>
      </c>
      <c r="W120" s="225"/>
      <c r="X120" s="46">
        <f t="shared" si="3"/>
        <v>920</v>
      </c>
      <c r="Y120" s="106">
        <f>D120+H120+L120+P120+T120</f>
        <v>650</v>
      </c>
      <c r="Z120" s="67">
        <f>AVERAGE(E120,I120,M120,Q120,U120)</f>
        <v>184</v>
      </c>
      <c r="AA120" s="143">
        <f>AVERAGE(E120,I120,M120,Q120,U120)-C120</f>
        <v>130</v>
      </c>
      <c r="AB120" s="220"/>
    </row>
    <row r="121" spans="1:28" s="38" customFormat="1" ht="15.75" customHeight="1">
      <c r="A121" s="222" t="s">
        <v>304</v>
      </c>
      <c r="B121" s="223"/>
      <c r="C121" s="159">
        <v>60</v>
      </c>
      <c r="D121" s="59">
        <v>85</v>
      </c>
      <c r="E121" s="50">
        <f>D121+C121</f>
        <v>145</v>
      </c>
      <c r="F121" s="226"/>
      <c r="G121" s="227"/>
      <c r="H121" s="98">
        <v>106</v>
      </c>
      <c r="I121" s="46">
        <f>H121+C121</f>
        <v>166</v>
      </c>
      <c r="J121" s="226"/>
      <c r="K121" s="227"/>
      <c r="L121" s="98">
        <v>129</v>
      </c>
      <c r="M121" s="50">
        <f>L121+C121</f>
        <v>189</v>
      </c>
      <c r="N121" s="226"/>
      <c r="O121" s="227"/>
      <c r="P121" s="98">
        <v>115</v>
      </c>
      <c r="Q121" s="50">
        <f>P121+C121</f>
        <v>175</v>
      </c>
      <c r="R121" s="226"/>
      <c r="S121" s="227"/>
      <c r="T121" s="98">
        <v>130</v>
      </c>
      <c r="U121" s="50">
        <f>T121+C121</f>
        <v>190</v>
      </c>
      <c r="V121" s="226"/>
      <c r="W121" s="227"/>
      <c r="X121" s="46">
        <f t="shared" si="3"/>
        <v>865</v>
      </c>
      <c r="Y121" s="106">
        <f>D121+H121+L121+P121+T121</f>
        <v>565</v>
      </c>
      <c r="Z121" s="67">
        <f>AVERAGE(E121,I121,M121,Q121,U121)</f>
        <v>173</v>
      </c>
      <c r="AA121" s="143">
        <f>AVERAGE(E121,I121,M121,Q121,U121)-C121</f>
        <v>113</v>
      </c>
      <c r="AB121" s="220"/>
    </row>
    <row r="122" spans="1:29" s="38" customFormat="1" ht="15.75" customHeight="1" thickBot="1">
      <c r="A122" s="229" t="s">
        <v>95</v>
      </c>
      <c r="B122" s="230"/>
      <c r="C122" s="160">
        <v>49</v>
      </c>
      <c r="D122" s="60">
        <v>146</v>
      </c>
      <c r="E122" s="50">
        <f>D122+C122</f>
        <v>195</v>
      </c>
      <c r="F122" s="204"/>
      <c r="G122" s="228"/>
      <c r="H122" s="99">
        <v>78</v>
      </c>
      <c r="I122" s="46">
        <f>H122+C122</f>
        <v>127</v>
      </c>
      <c r="J122" s="204"/>
      <c r="K122" s="228"/>
      <c r="L122" s="99">
        <v>113</v>
      </c>
      <c r="M122" s="50">
        <f>L122+C122</f>
        <v>162</v>
      </c>
      <c r="N122" s="204"/>
      <c r="O122" s="228"/>
      <c r="P122" s="99">
        <v>112</v>
      </c>
      <c r="Q122" s="50">
        <f>P122+C122</f>
        <v>161</v>
      </c>
      <c r="R122" s="204"/>
      <c r="S122" s="228"/>
      <c r="T122" s="99">
        <v>106</v>
      </c>
      <c r="U122" s="50">
        <f>T122+C122</f>
        <v>155</v>
      </c>
      <c r="V122" s="204"/>
      <c r="W122" s="228"/>
      <c r="X122" s="47">
        <f t="shared" si="3"/>
        <v>800</v>
      </c>
      <c r="Y122" s="107">
        <f>D122+H122+L122+P122+T122</f>
        <v>555</v>
      </c>
      <c r="Z122" s="68">
        <f>AVERAGE(E122,I122,M122,Q122,U122)</f>
        <v>160</v>
      </c>
      <c r="AA122" s="144">
        <f>AVERAGE(E122,I122,M122,Q122,U122)-C122</f>
        <v>111</v>
      </c>
      <c r="AB122" s="221"/>
      <c r="AC122" s="44"/>
    </row>
    <row r="123" spans="1:28" s="38" customFormat="1" ht="40.5" customHeight="1">
      <c r="A123" s="217" t="s">
        <v>241</v>
      </c>
      <c r="B123" s="218"/>
      <c r="C123" s="158">
        <f>SUM(C124:C126)</f>
        <v>145</v>
      </c>
      <c r="D123" s="62">
        <f>SUM(D124:D126)</f>
        <v>377</v>
      </c>
      <c r="E123" s="45">
        <f>SUM(E124:E126)</f>
        <v>522</v>
      </c>
      <c r="F123" s="45">
        <f>E111</f>
        <v>614</v>
      </c>
      <c r="G123" s="42" t="str">
        <f>A111</f>
        <v>VÄRSKA VESI</v>
      </c>
      <c r="H123" s="62">
        <f>SUM(H124:H126)</f>
        <v>381</v>
      </c>
      <c r="I123" s="45">
        <f>SUM(I124:I126)</f>
        <v>526</v>
      </c>
      <c r="J123" s="45">
        <f>I107</f>
        <v>559</v>
      </c>
      <c r="K123" s="42" t="str">
        <f>A107</f>
        <v>LAJOS 2</v>
      </c>
      <c r="L123" s="133">
        <f>SUM(L124:L126)</f>
        <v>378</v>
      </c>
      <c r="M123" s="69">
        <f>SUM(M124:M126)</f>
        <v>523</v>
      </c>
      <c r="N123" s="45">
        <f>M127</f>
        <v>536</v>
      </c>
      <c r="O123" s="42" t="str">
        <f>A127</f>
        <v>FEB</v>
      </c>
      <c r="P123" s="45">
        <f>SUM(P124:P126)</f>
        <v>352</v>
      </c>
      <c r="Q123" s="69">
        <f>SUM(Q124:Q126)</f>
        <v>497</v>
      </c>
      <c r="R123" s="45">
        <f>Q119</f>
        <v>540</v>
      </c>
      <c r="S123" s="42" t="str">
        <f>A119</f>
        <v>PLANRAY</v>
      </c>
      <c r="T123" s="133">
        <f>SUM(T124:T126)</f>
        <v>373</v>
      </c>
      <c r="U123" s="69">
        <f>SUM(U124:U126)</f>
        <v>518</v>
      </c>
      <c r="V123" s="45">
        <f>U115</f>
        <v>580</v>
      </c>
      <c r="W123" s="42" t="str">
        <f>A115</f>
        <v>KUNDA TRANS</v>
      </c>
      <c r="X123" s="36">
        <f t="shared" si="3"/>
        <v>2586</v>
      </c>
      <c r="Y123" s="105">
        <f>SUM(Y124:Y126)</f>
        <v>1861</v>
      </c>
      <c r="Z123" s="65">
        <f>AVERAGE(Z124,Z125,Z126)</f>
        <v>172.4</v>
      </c>
      <c r="AA123" s="142">
        <f>AVERAGE(AA124,AA125,AA126)</f>
        <v>124.06666666666668</v>
      </c>
      <c r="AB123" s="219">
        <f>F124+J124+N124+R124+V124</f>
        <v>0</v>
      </c>
    </row>
    <row r="124" spans="1:28" s="38" customFormat="1" ht="15.75" customHeight="1">
      <c r="A124" s="222" t="s">
        <v>242</v>
      </c>
      <c r="B124" s="223"/>
      <c r="C124" s="159">
        <v>60</v>
      </c>
      <c r="D124" s="59">
        <v>109</v>
      </c>
      <c r="E124" s="50">
        <f>D124+C124</f>
        <v>169</v>
      </c>
      <c r="F124" s="224">
        <v>0</v>
      </c>
      <c r="G124" s="225"/>
      <c r="H124" s="97">
        <v>132</v>
      </c>
      <c r="I124" s="46">
        <f>H124+C124</f>
        <v>192</v>
      </c>
      <c r="J124" s="224">
        <v>0</v>
      </c>
      <c r="K124" s="225"/>
      <c r="L124" s="97">
        <v>96</v>
      </c>
      <c r="M124" s="50">
        <f>L124+C124</f>
        <v>156</v>
      </c>
      <c r="N124" s="224">
        <v>0</v>
      </c>
      <c r="O124" s="225"/>
      <c r="P124" s="97">
        <v>128</v>
      </c>
      <c r="Q124" s="50">
        <f>P124+C124</f>
        <v>188</v>
      </c>
      <c r="R124" s="224">
        <v>0</v>
      </c>
      <c r="S124" s="225"/>
      <c r="T124" s="97">
        <v>107</v>
      </c>
      <c r="U124" s="50">
        <f>T124+C124</f>
        <v>167</v>
      </c>
      <c r="V124" s="224">
        <v>0</v>
      </c>
      <c r="W124" s="225"/>
      <c r="X124" s="46">
        <f t="shared" si="3"/>
        <v>872</v>
      </c>
      <c r="Y124" s="106">
        <f>D124+H124+L124+P124+T124</f>
        <v>572</v>
      </c>
      <c r="Z124" s="67">
        <f>AVERAGE(E124,I124,M124,Q124,U124)</f>
        <v>174.4</v>
      </c>
      <c r="AA124" s="143">
        <f>AVERAGE(E124,I124,M124,Q124,U124)-C124</f>
        <v>114.4</v>
      </c>
      <c r="AB124" s="220"/>
    </row>
    <row r="125" spans="1:28" s="38" customFormat="1" ht="15.75" customHeight="1">
      <c r="A125" s="222" t="s">
        <v>267</v>
      </c>
      <c r="B125" s="223"/>
      <c r="C125" s="159">
        <v>52</v>
      </c>
      <c r="D125" s="59">
        <v>139</v>
      </c>
      <c r="E125" s="50">
        <f>D125+C125</f>
        <v>191</v>
      </c>
      <c r="F125" s="226"/>
      <c r="G125" s="227"/>
      <c r="H125" s="98">
        <v>136</v>
      </c>
      <c r="I125" s="46">
        <f>H125+C125</f>
        <v>188</v>
      </c>
      <c r="J125" s="226"/>
      <c r="K125" s="227"/>
      <c r="L125" s="98">
        <v>154</v>
      </c>
      <c r="M125" s="50">
        <f>L125+C125</f>
        <v>206</v>
      </c>
      <c r="N125" s="226"/>
      <c r="O125" s="227"/>
      <c r="P125" s="98">
        <v>106</v>
      </c>
      <c r="Q125" s="50">
        <f>P125+C125</f>
        <v>158</v>
      </c>
      <c r="R125" s="226"/>
      <c r="S125" s="227"/>
      <c r="T125" s="98">
        <v>119</v>
      </c>
      <c r="U125" s="50">
        <f>T125+C125</f>
        <v>171</v>
      </c>
      <c r="V125" s="226"/>
      <c r="W125" s="227"/>
      <c r="X125" s="46">
        <f t="shared" si="3"/>
        <v>914</v>
      </c>
      <c r="Y125" s="106">
        <f>D125+H125+L125+P125+T125</f>
        <v>654</v>
      </c>
      <c r="Z125" s="67">
        <f>AVERAGE(E125,I125,M125,Q125,U125)</f>
        <v>182.8</v>
      </c>
      <c r="AA125" s="143">
        <f>AVERAGE(E125,I125,M125,Q125,U125)-C125</f>
        <v>130.8</v>
      </c>
      <c r="AB125" s="220"/>
    </row>
    <row r="126" spans="1:28" s="38" customFormat="1" ht="15.75" customHeight="1" thickBot="1">
      <c r="A126" s="229" t="s">
        <v>268</v>
      </c>
      <c r="B126" s="230"/>
      <c r="C126" s="160">
        <v>33</v>
      </c>
      <c r="D126" s="60">
        <v>129</v>
      </c>
      <c r="E126" s="50">
        <f>D126+C126</f>
        <v>162</v>
      </c>
      <c r="F126" s="204"/>
      <c r="G126" s="228"/>
      <c r="H126" s="99">
        <v>113</v>
      </c>
      <c r="I126" s="46">
        <f>H126+C126</f>
        <v>146</v>
      </c>
      <c r="J126" s="204"/>
      <c r="K126" s="228"/>
      <c r="L126" s="99">
        <v>128</v>
      </c>
      <c r="M126" s="50">
        <f>L126+C126</f>
        <v>161</v>
      </c>
      <c r="N126" s="204"/>
      <c r="O126" s="228"/>
      <c r="P126" s="99">
        <v>118</v>
      </c>
      <c r="Q126" s="50">
        <f>P126+C126</f>
        <v>151</v>
      </c>
      <c r="R126" s="204"/>
      <c r="S126" s="228"/>
      <c r="T126" s="99">
        <v>147</v>
      </c>
      <c r="U126" s="50">
        <f>T126+C126</f>
        <v>180</v>
      </c>
      <c r="V126" s="204"/>
      <c r="W126" s="228"/>
      <c r="X126" s="47">
        <f t="shared" si="3"/>
        <v>800</v>
      </c>
      <c r="Y126" s="107">
        <f>D126+H126+L126+P126+T126</f>
        <v>635</v>
      </c>
      <c r="Z126" s="68">
        <f>AVERAGE(E126,I126,M126,Q126,U126)</f>
        <v>160</v>
      </c>
      <c r="AA126" s="144">
        <f>AVERAGE(E126,I126,M126,Q126,U126)-C126</f>
        <v>127</v>
      </c>
      <c r="AB126" s="221"/>
    </row>
    <row r="127" spans="1:28" s="38" customFormat="1" ht="42" customHeight="1">
      <c r="A127" s="217" t="s">
        <v>15</v>
      </c>
      <c r="B127" s="218"/>
      <c r="C127" s="158">
        <f>SUM(C128:C130)</f>
        <v>132</v>
      </c>
      <c r="D127" s="62">
        <f>SUM(D128:D130)</f>
        <v>372</v>
      </c>
      <c r="E127" s="45">
        <f>SUM(E128:E130)</f>
        <v>504</v>
      </c>
      <c r="F127" s="45">
        <f>E107</f>
        <v>483</v>
      </c>
      <c r="G127" s="42" t="str">
        <f>A107</f>
        <v>LAJOS 2</v>
      </c>
      <c r="H127" s="62">
        <f>SUM(H128:H130)</f>
        <v>399</v>
      </c>
      <c r="I127" s="45">
        <f>SUM(I128:I130)</f>
        <v>531</v>
      </c>
      <c r="J127" s="45">
        <f>I115</f>
        <v>503</v>
      </c>
      <c r="K127" s="42" t="str">
        <f>A115</f>
        <v>KUNDA TRANS</v>
      </c>
      <c r="L127" s="133">
        <f>SUM(L128:L130)</f>
        <v>404</v>
      </c>
      <c r="M127" s="49">
        <f>SUM(M128:M130)</f>
        <v>536</v>
      </c>
      <c r="N127" s="45">
        <f>M123</f>
        <v>523</v>
      </c>
      <c r="O127" s="42" t="str">
        <f>A123</f>
        <v>Näpi Saeveski 2</v>
      </c>
      <c r="P127" s="45">
        <f>SUM(P128:P130)</f>
        <v>413</v>
      </c>
      <c r="Q127" s="49">
        <f>SUM(Q128:Q130)</f>
        <v>545</v>
      </c>
      <c r="R127" s="45">
        <f>Q111</f>
        <v>504</v>
      </c>
      <c r="S127" s="42" t="str">
        <f>A111</f>
        <v>VÄRSKA VESI</v>
      </c>
      <c r="T127" s="133">
        <f>SUM(T128:T130)</f>
        <v>345</v>
      </c>
      <c r="U127" s="49">
        <f>SUM(U128:U130)</f>
        <v>477</v>
      </c>
      <c r="V127" s="45">
        <f>U119</f>
        <v>517</v>
      </c>
      <c r="W127" s="42" t="str">
        <f>A119</f>
        <v>PLANRAY</v>
      </c>
      <c r="X127" s="36">
        <f t="shared" si="3"/>
        <v>2593</v>
      </c>
      <c r="Y127" s="105">
        <f>SUM(Y128:Y130)</f>
        <v>1933</v>
      </c>
      <c r="Z127" s="65">
        <f>AVERAGE(Z128,Z129,Z130)</f>
        <v>172.86666666666665</v>
      </c>
      <c r="AA127" s="142">
        <f>AVERAGE(AA128,AA129,AA130)</f>
        <v>128.86666666666667</v>
      </c>
      <c r="AB127" s="219">
        <f>F128+J128+N128+R128+V128</f>
        <v>4</v>
      </c>
    </row>
    <row r="128" spans="1:28" s="38" customFormat="1" ht="15.75" customHeight="1">
      <c r="A128" s="222" t="s">
        <v>49</v>
      </c>
      <c r="B128" s="223"/>
      <c r="C128" s="159">
        <v>39</v>
      </c>
      <c r="D128" s="59">
        <v>149</v>
      </c>
      <c r="E128" s="50">
        <f>D128+C128</f>
        <v>188</v>
      </c>
      <c r="F128" s="224">
        <v>1</v>
      </c>
      <c r="G128" s="225"/>
      <c r="H128" s="97">
        <v>141</v>
      </c>
      <c r="I128" s="46">
        <f>H128+C128</f>
        <v>180</v>
      </c>
      <c r="J128" s="224">
        <v>1</v>
      </c>
      <c r="K128" s="225"/>
      <c r="L128" s="97">
        <v>141</v>
      </c>
      <c r="M128" s="50">
        <f>L128+C128</f>
        <v>180</v>
      </c>
      <c r="N128" s="224">
        <v>1</v>
      </c>
      <c r="O128" s="225"/>
      <c r="P128" s="97">
        <v>138</v>
      </c>
      <c r="Q128" s="50">
        <f>P128+C128</f>
        <v>177</v>
      </c>
      <c r="R128" s="224">
        <v>1</v>
      </c>
      <c r="S128" s="225"/>
      <c r="T128" s="97">
        <v>120</v>
      </c>
      <c r="U128" s="50">
        <f>T128+C128</f>
        <v>159</v>
      </c>
      <c r="V128" s="224">
        <v>0</v>
      </c>
      <c r="W128" s="225"/>
      <c r="X128" s="46">
        <f t="shared" si="3"/>
        <v>884</v>
      </c>
      <c r="Y128" s="106">
        <f>D128+H128+L128+P128+T128</f>
        <v>689</v>
      </c>
      <c r="Z128" s="67">
        <f>AVERAGE(E128,I128,M128,Q128,U128)</f>
        <v>176.8</v>
      </c>
      <c r="AA128" s="143">
        <f>AVERAGE(E128,I128,M128,Q128,U128)-C128</f>
        <v>137.8</v>
      </c>
      <c r="AB128" s="220"/>
    </row>
    <row r="129" spans="1:28" s="38" customFormat="1" ht="15.75" customHeight="1">
      <c r="A129" s="222" t="s">
        <v>48</v>
      </c>
      <c r="B129" s="223"/>
      <c r="C129" s="159">
        <v>60</v>
      </c>
      <c r="D129" s="59">
        <v>86</v>
      </c>
      <c r="E129" s="50">
        <f>D129+C129</f>
        <v>146</v>
      </c>
      <c r="F129" s="226"/>
      <c r="G129" s="227"/>
      <c r="H129" s="98">
        <v>113</v>
      </c>
      <c r="I129" s="46">
        <f>H129+C129</f>
        <v>173</v>
      </c>
      <c r="J129" s="226"/>
      <c r="K129" s="227"/>
      <c r="L129" s="98">
        <v>119</v>
      </c>
      <c r="M129" s="50">
        <f>L129+C129</f>
        <v>179</v>
      </c>
      <c r="N129" s="226"/>
      <c r="O129" s="227"/>
      <c r="P129" s="98">
        <v>116</v>
      </c>
      <c r="Q129" s="50">
        <f>P129+C129</f>
        <v>176</v>
      </c>
      <c r="R129" s="226"/>
      <c r="S129" s="227"/>
      <c r="T129" s="98">
        <v>109</v>
      </c>
      <c r="U129" s="50">
        <f>T129+C129</f>
        <v>169</v>
      </c>
      <c r="V129" s="226"/>
      <c r="W129" s="227"/>
      <c r="X129" s="46">
        <f t="shared" si="3"/>
        <v>843</v>
      </c>
      <c r="Y129" s="106">
        <f>D129+H129+L129+P129+T129</f>
        <v>543</v>
      </c>
      <c r="Z129" s="67">
        <f>AVERAGE(E129,I129,M129,Q129,U129)</f>
        <v>168.6</v>
      </c>
      <c r="AA129" s="143">
        <f>AVERAGE(E129,I129,M129,Q129,U129)-C129</f>
        <v>108.6</v>
      </c>
      <c r="AB129" s="220"/>
    </row>
    <row r="130" spans="1:28" s="38" customFormat="1" ht="15.75" customHeight="1" thickBot="1">
      <c r="A130" s="229" t="s">
        <v>276</v>
      </c>
      <c r="B130" s="230"/>
      <c r="C130" s="160">
        <v>33</v>
      </c>
      <c r="D130" s="60">
        <v>137</v>
      </c>
      <c r="E130" s="50">
        <f>D130+C130</f>
        <v>170</v>
      </c>
      <c r="F130" s="204"/>
      <c r="G130" s="228"/>
      <c r="H130" s="99">
        <v>145</v>
      </c>
      <c r="I130" s="46">
        <f>H130+C130</f>
        <v>178</v>
      </c>
      <c r="J130" s="204"/>
      <c r="K130" s="228"/>
      <c r="L130" s="99">
        <v>144</v>
      </c>
      <c r="M130" s="50">
        <f>L130+C130</f>
        <v>177</v>
      </c>
      <c r="N130" s="204"/>
      <c r="O130" s="228"/>
      <c r="P130" s="99">
        <v>159</v>
      </c>
      <c r="Q130" s="50">
        <f>P130+C130</f>
        <v>192</v>
      </c>
      <c r="R130" s="204"/>
      <c r="S130" s="228"/>
      <c r="T130" s="99">
        <v>116</v>
      </c>
      <c r="U130" s="50">
        <f>T130+C130</f>
        <v>149</v>
      </c>
      <c r="V130" s="204"/>
      <c r="W130" s="228"/>
      <c r="X130" s="47">
        <f t="shared" si="3"/>
        <v>866</v>
      </c>
      <c r="Y130" s="107">
        <f>D130+H130+L130+P130+T130</f>
        <v>701</v>
      </c>
      <c r="Z130" s="68">
        <f>AVERAGE(E130,I130,M130,Q130,U130)</f>
        <v>173.2</v>
      </c>
      <c r="AA130" s="144">
        <f>AVERAGE(E130,I130,M130,Q130,U130)-C130</f>
        <v>140.2</v>
      </c>
      <c r="AB130" s="221"/>
    </row>
    <row r="132" ht="5.25" customHeight="1"/>
    <row r="133" spans="1:28" s="40" customFormat="1" ht="3.75" customHeight="1">
      <c r="A133" s="207" t="s">
        <v>299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4"/>
      <c r="W133" s="25"/>
      <c r="Y133" s="57"/>
      <c r="Z133" s="41"/>
      <c r="AA133" s="139"/>
      <c r="AB133" s="25"/>
    </row>
    <row r="134" spans="1:28" s="40" customFormat="1" ht="6" customHeight="1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4"/>
      <c r="W134" s="25"/>
      <c r="Y134" s="57"/>
      <c r="Z134" s="41"/>
      <c r="AA134" s="139"/>
      <c r="AB134" s="25"/>
    </row>
    <row r="135" spans="1:28" s="40" customFormat="1" ht="23.25" customHeight="1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5"/>
      <c r="W135" s="25"/>
      <c r="Y135" s="57"/>
      <c r="Z135" s="41"/>
      <c r="AA135" s="139"/>
      <c r="AB135" s="25"/>
    </row>
    <row r="136" spans="1:28" s="31" customFormat="1" ht="15.75" customHeight="1">
      <c r="A136" s="209" t="s">
        <v>0</v>
      </c>
      <c r="B136" s="210"/>
      <c r="C136" s="156" t="s">
        <v>39</v>
      </c>
      <c r="D136" s="55"/>
      <c r="E136" s="27" t="s">
        <v>1</v>
      </c>
      <c r="F136" s="211" t="s">
        <v>2</v>
      </c>
      <c r="G136" s="212"/>
      <c r="H136" s="94"/>
      <c r="I136" s="27" t="s">
        <v>3</v>
      </c>
      <c r="J136" s="211" t="s">
        <v>2</v>
      </c>
      <c r="K136" s="212"/>
      <c r="L136" s="94"/>
      <c r="M136" s="27" t="s">
        <v>4</v>
      </c>
      <c r="N136" s="211" t="s">
        <v>2</v>
      </c>
      <c r="O136" s="212"/>
      <c r="P136" s="94"/>
      <c r="Q136" s="27" t="s">
        <v>5</v>
      </c>
      <c r="R136" s="211" t="s">
        <v>2</v>
      </c>
      <c r="S136" s="212"/>
      <c r="T136" s="94"/>
      <c r="U136" s="27" t="s">
        <v>6</v>
      </c>
      <c r="V136" s="211" t="s">
        <v>2</v>
      </c>
      <c r="W136" s="212"/>
      <c r="X136" s="28" t="s">
        <v>7</v>
      </c>
      <c r="Y136" s="104"/>
      <c r="Z136" s="29" t="s">
        <v>40</v>
      </c>
      <c r="AA136" s="140" t="s">
        <v>42</v>
      </c>
      <c r="AB136" s="30" t="s">
        <v>7</v>
      </c>
    </row>
    <row r="137" spans="1:28" s="31" customFormat="1" ht="15.75" customHeight="1" thickBot="1">
      <c r="A137" s="213" t="s">
        <v>9</v>
      </c>
      <c r="B137" s="214"/>
      <c r="C137" s="157"/>
      <c r="D137" s="56"/>
      <c r="E137" s="32" t="s">
        <v>10</v>
      </c>
      <c r="F137" s="211" t="s">
        <v>11</v>
      </c>
      <c r="G137" s="212"/>
      <c r="H137" s="95"/>
      <c r="I137" s="32" t="s">
        <v>10</v>
      </c>
      <c r="J137" s="215" t="s">
        <v>11</v>
      </c>
      <c r="K137" s="216"/>
      <c r="L137" s="95"/>
      <c r="M137" s="32" t="s">
        <v>10</v>
      </c>
      <c r="N137" s="215" t="s">
        <v>11</v>
      </c>
      <c r="O137" s="216"/>
      <c r="P137" s="95"/>
      <c r="Q137" s="32" t="s">
        <v>10</v>
      </c>
      <c r="R137" s="215" t="s">
        <v>11</v>
      </c>
      <c r="S137" s="216"/>
      <c r="T137" s="95"/>
      <c r="U137" s="32" t="s">
        <v>10</v>
      </c>
      <c r="V137" s="215" t="s">
        <v>11</v>
      </c>
      <c r="W137" s="216"/>
      <c r="X137" s="33" t="s">
        <v>10</v>
      </c>
      <c r="Y137" s="134" t="s">
        <v>287</v>
      </c>
      <c r="Z137" s="34" t="s">
        <v>41</v>
      </c>
      <c r="AA137" s="141" t="s">
        <v>43</v>
      </c>
      <c r="AB137" s="35" t="s">
        <v>12</v>
      </c>
    </row>
    <row r="138" spans="1:28" s="38" customFormat="1" ht="42" customHeight="1">
      <c r="A138" s="217" t="s">
        <v>13</v>
      </c>
      <c r="B138" s="218"/>
      <c r="C138" s="158">
        <f>SUM(C139:C141)</f>
        <v>154</v>
      </c>
      <c r="D138" s="62">
        <f>SUM(D139:D141)</f>
        <v>359</v>
      </c>
      <c r="E138" s="63">
        <f>SUM(E139:E141)</f>
        <v>513</v>
      </c>
      <c r="F138" s="46">
        <f>E158</f>
        <v>560</v>
      </c>
      <c r="G138" s="64" t="str">
        <f>A158</f>
        <v>TOODE</v>
      </c>
      <c r="H138" s="62">
        <f>SUM(H139:H141)</f>
        <v>355</v>
      </c>
      <c r="I138" s="49">
        <f>SUM(I139:I141)</f>
        <v>509</v>
      </c>
      <c r="J138" s="49">
        <f>I154</f>
        <v>578</v>
      </c>
      <c r="K138" s="42" t="str">
        <f>A154</f>
        <v>STIK</v>
      </c>
      <c r="L138" s="58">
        <f>SUM(L139:L141)</f>
        <v>332</v>
      </c>
      <c r="M138" s="45">
        <f>SUM(M139:M141)</f>
        <v>486</v>
      </c>
      <c r="N138" s="45">
        <f>M150</f>
        <v>448</v>
      </c>
      <c r="O138" s="42" t="str">
        <f>A150</f>
        <v>Vest-Wood 3</v>
      </c>
      <c r="P138" s="45">
        <f>SUM(P139:P141)</f>
        <v>457</v>
      </c>
      <c r="Q138" s="45">
        <f>SUM(Q139:Q141)</f>
        <v>611</v>
      </c>
      <c r="R138" s="45">
        <f>Q146</f>
        <v>493</v>
      </c>
      <c r="S138" s="42" t="str">
        <f>A146</f>
        <v>LINNAKING</v>
      </c>
      <c r="T138" s="133">
        <f>SUM(T139:T141)</f>
        <v>404</v>
      </c>
      <c r="U138" s="45">
        <f>SUM(U139:U141)</f>
        <v>558</v>
      </c>
      <c r="V138" s="45">
        <f>U142</f>
        <v>506</v>
      </c>
      <c r="W138" s="42" t="str">
        <f>A142</f>
        <v>AVR Projekt</v>
      </c>
      <c r="X138" s="36">
        <f aca="true" t="shared" si="4" ref="X138:X161">E138+I138+M138+Q138+U138</f>
        <v>2677</v>
      </c>
      <c r="Y138" s="105">
        <f>SUM(Y139:Y141)</f>
        <v>1907</v>
      </c>
      <c r="Z138" s="37">
        <f>AVERAGE(Z139,Z140,Z141)</f>
        <v>178.46666666666667</v>
      </c>
      <c r="AA138" s="142">
        <f>AVERAGE(AA139,AA140,AA141)</f>
        <v>127.13333333333333</v>
      </c>
      <c r="AB138" s="219">
        <f>F139+J139+N139+R139+V139</f>
        <v>3</v>
      </c>
    </row>
    <row r="139" spans="1:28" s="38" customFormat="1" ht="15.75" customHeight="1">
      <c r="A139" s="222" t="s">
        <v>301</v>
      </c>
      <c r="B139" s="223"/>
      <c r="C139" s="159">
        <v>60</v>
      </c>
      <c r="D139" s="59">
        <v>97</v>
      </c>
      <c r="E139" s="50">
        <v>157</v>
      </c>
      <c r="F139" s="224">
        <v>0</v>
      </c>
      <c r="G139" s="225"/>
      <c r="H139" s="97">
        <v>127</v>
      </c>
      <c r="I139" s="46">
        <v>187</v>
      </c>
      <c r="J139" s="224">
        <v>0</v>
      </c>
      <c r="K139" s="225"/>
      <c r="L139" s="97">
        <v>111</v>
      </c>
      <c r="M139" s="50">
        <v>171</v>
      </c>
      <c r="N139" s="224">
        <v>1</v>
      </c>
      <c r="O139" s="225"/>
      <c r="P139" s="97">
        <v>138</v>
      </c>
      <c r="Q139" s="50">
        <f>P139+C139</f>
        <v>198</v>
      </c>
      <c r="R139" s="224">
        <v>1</v>
      </c>
      <c r="S139" s="225"/>
      <c r="T139" s="97">
        <v>125</v>
      </c>
      <c r="U139" s="50">
        <f>T139+C139</f>
        <v>185</v>
      </c>
      <c r="V139" s="224">
        <v>1</v>
      </c>
      <c r="W139" s="225"/>
      <c r="X139" s="46">
        <f t="shared" si="4"/>
        <v>898</v>
      </c>
      <c r="Y139" s="106">
        <f>D139+H139+L139+P139+T139</f>
        <v>598</v>
      </c>
      <c r="Z139" s="67">
        <f>AVERAGE(E139,I139,M139,Q139,U139)</f>
        <v>179.6</v>
      </c>
      <c r="AA139" s="143">
        <f>AVERAGE(E139,I139,M139,Q139,U139)-C139</f>
        <v>119.6</v>
      </c>
      <c r="AB139" s="220"/>
    </row>
    <row r="140" spans="1:28" s="38" customFormat="1" ht="15.75" customHeight="1">
      <c r="A140" s="222" t="s">
        <v>302</v>
      </c>
      <c r="B140" s="223"/>
      <c r="C140" s="159">
        <v>36</v>
      </c>
      <c r="D140" s="59">
        <v>136</v>
      </c>
      <c r="E140" s="50">
        <v>172</v>
      </c>
      <c r="F140" s="226"/>
      <c r="G140" s="227"/>
      <c r="H140" s="98">
        <v>125</v>
      </c>
      <c r="I140" s="46">
        <v>161</v>
      </c>
      <c r="J140" s="226"/>
      <c r="K140" s="227"/>
      <c r="L140" s="98">
        <v>116</v>
      </c>
      <c r="M140" s="50">
        <v>152</v>
      </c>
      <c r="N140" s="226"/>
      <c r="O140" s="227"/>
      <c r="P140" s="98">
        <v>146</v>
      </c>
      <c r="Q140" s="50">
        <f>P140+C140</f>
        <v>182</v>
      </c>
      <c r="R140" s="226"/>
      <c r="S140" s="227"/>
      <c r="T140" s="98">
        <v>123</v>
      </c>
      <c r="U140" s="50">
        <f>T140+C140</f>
        <v>159</v>
      </c>
      <c r="V140" s="226"/>
      <c r="W140" s="227"/>
      <c r="X140" s="46">
        <f t="shared" si="4"/>
        <v>826</v>
      </c>
      <c r="Y140" s="106">
        <f>D140+H140+L140+P140+T140</f>
        <v>646</v>
      </c>
      <c r="Z140" s="67">
        <f>AVERAGE(E140,I140,M140,Q140,U140)</f>
        <v>165.2</v>
      </c>
      <c r="AA140" s="143">
        <f>AVERAGE(E140,I140,M140,Q140,U140)-C140</f>
        <v>129.2</v>
      </c>
      <c r="AB140" s="220"/>
    </row>
    <row r="141" spans="1:28" s="38" customFormat="1" ht="16.5" customHeight="1" thickBot="1">
      <c r="A141" s="229" t="s">
        <v>58</v>
      </c>
      <c r="B141" s="230"/>
      <c r="C141" s="160">
        <v>58</v>
      </c>
      <c r="D141" s="60">
        <v>126</v>
      </c>
      <c r="E141" s="50">
        <v>184</v>
      </c>
      <c r="F141" s="204"/>
      <c r="G141" s="228"/>
      <c r="H141" s="99">
        <v>103</v>
      </c>
      <c r="I141" s="46">
        <v>161</v>
      </c>
      <c r="J141" s="204"/>
      <c r="K141" s="228"/>
      <c r="L141" s="99">
        <v>105</v>
      </c>
      <c r="M141" s="51">
        <v>163</v>
      </c>
      <c r="N141" s="204"/>
      <c r="O141" s="228"/>
      <c r="P141" s="99">
        <v>173</v>
      </c>
      <c r="Q141" s="50">
        <f>P141+C141</f>
        <v>231</v>
      </c>
      <c r="R141" s="204"/>
      <c r="S141" s="228"/>
      <c r="T141" s="99">
        <v>156</v>
      </c>
      <c r="U141" s="50">
        <f>T141+C141</f>
        <v>214</v>
      </c>
      <c r="V141" s="204"/>
      <c r="W141" s="228"/>
      <c r="X141" s="47">
        <f t="shared" si="4"/>
        <v>953</v>
      </c>
      <c r="Y141" s="107">
        <f>D141+H141+L141+P141+T141</f>
        <v>663</v>
      </c>
      <c r="Z141" s="68">
        <f>AVERAGE(E141,I141,M141,Q141,U141)</f>
        <v>190.6</v>
      </c>
      <c r="AA141" s="144">
        <f>AVERAGE(E141,I141,M141,Q141,U141)-C141</f>
        <v>132.6</v>
      </c>
      <c r="AB141" s="221"/>
    </row>
    <row r="142" spans="1:28" s="38" customFormat="1" ht="41.25" customHeight="1">
      <c r="A142" s="217" t="s">
        <v>163</v>
      </c>
      <c r="B142" s="218"/>
      <c r="C142" s="158">
        <f>SUM(C143:C145)</f>
        <v>180</v>
      </c>
      <c r="D142" s="62">
        <f>SUM(D143:D145)</f>
        <v>340</v>
      </c>
      <c r="E142" s="45">
        <f>SUM(E143:E145)</f>
        <v>520</v>
      </c>
      <c r="F142" s="45">
        <f>E154</f>
        <v>536</v>
      </c>
      <c r="G142" s="42" t="str">
        <f>A154</f>
        <v>STIK</v>
      </c>
      <c r="H142" s="62">
        <f>SUM(H143:H145)</f>
        <v>390</v>
      </c>
      <c r="I142" s="45">
        <f>SUM(I143:I145)</f>
        <v>570</v>
      </c>
      <c r="J142" s="45">
        <f>I150</f>
        <v>473</v>
      </c>
      <c r="K142" s="42" t="str">
        <f>A150</f>
        <v>Vest-Wood 3</v>
      </c>
      <c r="L142" s="133">
        <f>SUM(L143:L145)</f>
        <v>366</v>
      </c>
      <c r="M142" s="49">
        <f>SUM(M143:M145)</f>
        <v>546</v>
      </c>
      <c r="N142" s="45">
        <f>M146</f>
        <v>500</v>
      </c>
      <c r="O142" s="42" t="str">
        <f>A146</f>
        <v>LINNAKING</v>
      </c>
      <c r="P142" s="45">
        <f>SUM(P143:P145)</f>
        <v>371</v>
      </c>
      <c r="Q142" s="49">
        <f>SUM(Q143:Q145)</f>
        <v>551</v>
      </c>
      <c r="R142" s="45">
        <f>Q158</f>
        <v>526</v>
      </c>
      <c r="S142" s="42" t="str">
        <f>A158</f>
        <v>TOODE</v>
      </c>
      <c r="T142" s="133">
        <f>SUM(T143:T145)</f>
        <v>326</v>
      </c>
      <c r="U142" s="49">
        <f>SUM(U143:U145)</f>
        <v>506</v>
      </c>
      <c r="V142" s="45">
        <f>U138</f>
        <v>558</v>
      </c>
      <c r="W142" s="42" t="str">
        <f>A138</f>
        <v>AKAT 2</v>
      </c>
      <c r="X142" s="36">
        <f t="shared" si="4"/>
        <v>2693</v>
      </c>
      <c r="Y142" s="105">
        <f>SUM(Y143:Y145)</f>
        <v>1793</v>
      </c>
      <c r="Z142" s="65">
        <f>AVERAGE(Z143,Z144,Z145)</f>
        <v>179.53333333333333</v>
      </c>
      <c r="AA142" s="142">
        <f>AVERAGE(AA143,AA144,AA145)</f>
        <v>119.53333333333335</v>
      </c>
      <c r="AB142" s="219">
        <f>F143+J143+N143+R143+V143</f>
        <v>3</v>
      </c>
    </row>
    <row r="143" spans="1:28" s="38" customFormat="1" ht="15.75" customHeight="1">
      <c r="A143" s="222" t="s">
        <v>156</v>
      </c>
      <c r="B143" s="223"/>
      <c r="C143" s="159">
        <v>60</v>
      </c>
      <c r="D143" s="59">
        <v>100</v>
      </c>
      <c r="E143" s="50">
        <v>160</v>
      </c>
      <c r="F143" s="224">
        <v>0</v>
      </c>
      <c r="G143" s="225"/>
      <c r="H143" s="97">
        <v>131</v>
      </c>
      <c r="I143" s="46">
        <v>191</v>
      </c>
      <c r="J143" s="224">
        <v>1</v>
      </c>
      <c r="K143" s="225"/>
      <c r="L143" s="97">
        <v>102</v>
      </c>
      <c r="M143" s="50">
        <v>162</v>
      </c>
      <c r="N143" s="224">
        <v>1</v>
      </c>
      <c r="O143" s="225"/>
      <c r="P143" s="97">
        <v>124</v>
      </c>
      <c r="Q143" s="50">
        <v>184</v>
      </c>
      <c r="R143" s="224">
        <v>1</v>
      </c>
      <c r="S143" s="225"/>
      <c r="T143" s="97">
        <v>118</v>
      </c>
      <c r="U143" s="50">
        <f>T143+C143</f>
        <v>178</v>
      </c>
      <c r="V143" s="224">
        <v>0</v>
      </c>
      <c r="W143" s="225"/>
      <c r="X143" s="46">
        <f t="shared" si="4"/>
        <v>875</v>
      </c>
      <c r="Y143" s="106">
        <f>D143+H143+L143+P143+T143</f>
        <v>575</v>
      </c>
      <c r="Z143" s="67">
        <f>AVERAGE(E143,I143,M143,Q143,U143)</f>
        <v>175</v>
      </c>
      <c r="AA143" s="143">
        <f>AVERAGE(E143,I143,M143,Q143,U143)-C143</f>
        <v>115</v>
      </c>
      <c r="AB143" s="220"/>
    </row>
    <row r="144" spans="1:28" s="38" customFormat="1" ht="15.75" customHeight="1">
      <c r="A144" s="222" t="s">
        <v>157</v>
      </c>
      <c r="B144" s="223"/>
      <c r="C144" s="159">
        <v>60</v>
      </c>
      <c r="D144" s="59">
        <v>121</v>
      </c>
      <c r="E144" s="50">
        <v>181</v>
      </c>
      <c r="F144" s="226"/>
      <c r="G144" s="227"/>
      <c r="H144" s="98">
        <v>154</v>
      </c>
      <c r="I144" s="46">
        <v>214</v>
      </c>
      <c r="J144" s="226"/>
      <c r="K144" s="227"/>
      <c r="L144" s="98">
        <v>147</v>
      </c>
      <c r="M144" s="50">
        <v>207</v>
      </c>
      <c r="N144" s="226"/>
      <c r="O144" s="227"/>
      <c r="P144" s="98">
        <v>124</v>
      </c>
      <c r="Q144" s="50">
        <v>184</v>
      </c>
      <c r="R144" s="226"/>
      <c r="S144" s="227"/>
      <c r="T144" s="98">
        <v>102</v>
      </c>
      <c r="U144" s="50">
        <f>T144+C144</f>
        <v>162</v>
      </c>
      <c r="V144" s="226"/>
      <c r="W144" s="227"/>
      <c r="X144" s="46">
        <f t="shared" si="4"/>
        <v>948</v>
      </c>
      <c r="Y144" s="106">
        <f>D144+H144+L144+P144+T144</f>
        <v>648</v>
      </c>
      <c r="Z144" s="67">
        <f>AVERAGE(E144,I144,M144,Q144,U144)</f>
        <v>189.6</v>
      </c>
      <c r="AA144" s="143">
        <f>AVERAGE(E144,I144,M144,Q144,U144)-C144</f>
        <v>129.6</v>
      </c>
      <c r="AB144" s="220"/>
    </row>
    <row r="145" spans="1:28" s="38" customFormat="1" ht="15.75" customHeight="1" thickBot="1">
      <c r="A145" s="229" t="s">
        <v>158</v>
      </c>
      <c r="B145" s="230"/>
      <c r="C145" s="160">
        <v>60</v>
      </c>
      <c r="D145" s="60">
        <v>119</v>
      </c>
      <c r="E145" s="50">
        <v>179</v>
      </c>
      <c r="F145" s="204"/>
      <c r="G145" s="228"/>
      <c r="H145" s="99">
        <v>105</v>
      </c>
      <c r="I145" s="46">
        <v>165</v>
      </c>
      <c r="J145" s="204"/>
      <c r="K145" s="228"/>
      <c r="L145" s="99">
        <v>117</v>
      </c>
      <c r="M145" s="51">
        <v>177</v>
      </c>
      <c r="N145" s="204"/>
      <c r="O145" s="228"/>
      <c r="P145" s="99">
        <v>123</v>
      </c>
      <c r="Q145" s="50">
        <v>183</v>
      </c>
      <c r="R145" s="204"/>
      <c r="S145" s="228"/>
      <c r="T145" s="99">
        <v>106</v>
      </c>
      <c r="U145" s="50">
        <f>T145+C145</f>
        <v>166</v>
      </c>
      <c r="V145" s="204"/>
      <c r="W145" s="228"/>
      <c r="X145" s="47">
        <f t="shared" si="4"/>
        <v>870</v>
      </c>
      <c r="Y145" s="107">
        <f>D145+H145+L145+P145+T145</f>
        <v>570</v>
      </c>
      <c r="Z145" s="68">
        <f>AVERAGE(E145,I145,M145,Q145,U145)</f>
        <v>174</v>
      </c>
      <c r="AA145" s="144">
        <f>AVERAGE(E145,I145,M145,Q145,U145)-C145</f>
        <v>114</v>
      </c>
      <c r="AB145" s="221"/>
    </row>
    <row r="146" spans="1:28" s="38" customFormat="1" ht="47.25" customHeight="1">
      <c r="A146" s="217" t="s">
        <v>135</v>
      </c>
      <c r="B146" s="218"/>
      <c r="C146" s="158">
        <f>SUM(C147:C149)</f>
        <v>134</v>
      </c>
      <c r="D146" s="62">
        <f>SUM(D147:D149)</f>
        <v>411</v>
      </c>
      <c r="E146" s="45">
        <f>SUM(E147:E149)</f>
        <v>545</v>
      </c>
      <c r="F146" s="45">
        <f>E150</f>
        <v>487</v>
      </c>
      <c r="G146" s="42" t="str">
        <f>A150</f>
        <v>Vest-Wood 3</v>
      </c>
      <c r="H146" s="62">
        <f>SUM(H147:H149)</f>
        <v>448</v>
      </c>
      <c r="I146" s="45">
        <f>SUM(I147:I149)</f>
        <v>582</v>
      </c>
      <c r="J146" s="45">
        <f>I158</f>
        <v>539</v>
      </c>
      <c r="K146" s="42" t="str">
        <f>A158</f>
        <v>TOODE</v>
      </c>
      <c r="L146" s="133">
        <f>SUM(L147:L149)</f>
        <v>366</v>
      </c>
      <c r="M146" s="69">
        <f>SUM(M147:M149)</f>
        <v>500</v>
      </c>
      <c r="N146" s="45">
        <f>M142</f>
        <v>546</v>
      </c>
      <c r="O146" s="42" t="str">
        <f>A142</f>
        <v>AVR Projekt</v>
      </c>
      <c r="P146" s="45">
        <f>SUM(P147:P149)</f>
        <v>359</v>
      </c>
      <c r="Q146" s="49">
        <f>SUM(Q147:Q149)</f>
        <v>493</v>
      </c>
      <c r="R146" s="45">
        <f>Q138</f>
        <v>611</v>
      </c>
      <c r="S146" s="42" t="str">
        <f>A138</f>
        <v>AKAT 2</v>
      </c>
      <c r="T146" s="133">
        <f>SUM(T147:T149)</f>
        <v>381</v>
      </c>
      <c r="U146" s="69">
        <f>SUM(U147:U149)</f>
        <v>515</v>
      </c>
      <c r="V146" s="45">
        <f>U154</f>
        <v>445</v>
      </c>
      <c r="W146" s="42" t="str">
        <f>A154</f>
        <v>STIK</v>
      </c>
      <c r="X146" s="36">
        <f t="shared" si="4"/>
        <v>2635</v>
      </c>
      <c r="Y146" s="105">
        <f>SUM(Y147:Y149)</f>
        <v>1965</v>
      </c>
      <c r="Z146" s="65">
        <f>AVERAGE(Z147,Z148,Z149)</f>
        <v>175.66666666666666</v>
      </c>
      <c r="AA146" s="142">
        <f>AVERAGE(AA147,AA148,AA149)</f>
        <v>131</v>
      </c>
      <c r="AB146" s="219">
        <f>F147+J147+N147+R147+V147</f>
        <v>3</v>
      </c>
    </row>
    <row r="147" spans="1:28" s="38" customFormat="1" ht="15.75" customHeight="1">
      <c r="A147" s="222" t="s">
        <v>141</v>
      </c>
      <c r="B147" s="223"/>
      <c r="C147" s="159">
        <v>35</v>
      </c>
      <c r="D147" s="59">
        <v>143</v>
      </c>
      <c r="E147" s="50">
        <f>D147+C147</f>
        <v>178</v>
      </c>
      <c r="F147" s="224">
        <v>1</v>
      </c>
      <c r="G147" s="225"/>
      <c r="H147" s="97">
        <v>151</v>
      </c>
      <c r="I147" s="46">
        <f>H147+C147</f>
        <v>186</v>
      </c>
      <c r="J147" s="224">
        <v>1</v>
      </c>
      <c r="K147" s="225"/>
      <c r="L147" s="97">
        <v>118</v>
      </c>
      <c r="M147" s="50">
        <f>L147+C147</f>
        <v>153</v>
      </c>
      <c r="N147" s="224">
        <v>0</v>
      </c>
      <c r="O147" s="225"/>
      <c r="P147" s="97">
        <v>123</v>
      </c>
      <c r="Q147" s="50">
        <f>P147+C147</f>
        <v>158</v>
      </c>
      <c r="R147" s="224">
        <v>0</v>
      </c>
      <c r="S147" s="225"/>
      <c r="T147" s="97">
        <v>126</v>
      </c>
      <c r="U147" s="50">
        <f>T147+C147</f>
        <v>161</v>
      </c>
      <c r="V147" s="224">
        <v>1</v>
      </c>
      <c r="W147" s="225"/>
      <c r="X147" s="46">
        <f t="shared" si="4"/>
        <v>836</v>
      </c>
      <c r="Y147" s="106">
        <f>D147+H147+L147+P147+T147</f>
        <v>661</v>
      </c>
      <c r="Z147" s="67">
        <f>AVERAGE(E147,I147,M147,Q147,U147)</f>
        <v>167.2</v>
      </c>
      <c r="AA147" s="143">
        <f>AVERAGE(E147,I147,M147,Q147,U147)-C147</f>
        <v>132.2</v>
      </c>
      <c r="AB147" s="220"/>
    </row>
    <row r="148" spans="1:28" s="38" customFormat="1" ht="15.75" customHeight="1">
      <c r="A148" s="222" t="s">
        <v>142</v>
      </c>
      <c r="B148" s="223"/>
      <c r="C148" s="159">
        <v>60</v>
      </c>
      <c r="D148" s="59">
        <v>99</v>
      </c>
      <c r="E148" s="50">
        <f>D148+C148</f>
        <v>159</v>
      </c>
      <c r="F148" s="226"/>
      <c r="G148" s="227"/>
      <c r="H148" s="98">
        <v>108</v>
      </c>
      <c r="I148" s="46">
        <f>H148+C148</f>
        <v>168</v>
      </c>
      <c r="J148" s="226"/>
      <c r="K148" s="227"/>
      <c r="L148" s="98">
        <v>110</v>
      </c>
      <c r="M148" s="50">
        <f>L148+C148</f>
        <v>170</v>
      </c>
      <c r="N148" s="226"/>
      <c r="O148" s="227"/>
      <c r="P148" s="98">
        <v>107</v>
      </c>
      <c r="Q148" s="50">
        <f>P148+C148</f>
        <v>167</v>
      </c>
      <c r="R148" s="226"/>
      <c r="S148" s="227"/>
      <c r="T148" s="98">
        <v>113</v>
      </c>
      <c r="U148" s="50">
        <f>T148+C148</f>
        <v>173</v>
      </c>
      <c r="V148" s="226"/>
      <c r="W148" s="227"/>
      <c r="X148" s="46">
        <f t="shared" si="4"/>
        <v>837</v>
      </c>
      <c r="Y148" s="106">
        <f>D148+H148+L148+P148+T148</f>
        <v>537</v>
      </c>
      <c r="Z148" s="67">
        <f>AVERAGE(E148,I148,M148,Q148,U148)</f>
        <v>167.4</v>
      </c>
      <c r="AA148" s="143">
        <f>AVERAGE(E148,I148,M148,Q148,U148)-C148</f>
        <v>107.4</v>
      </c>
      <c r="AB148" s="220"/>
    </row>
    <row r="149" spans="1:28" s="38" customFormat="1" ht="15.75" customHeight="1" thickBot="1">
      <c r="A149" s="229" t="s">
        <v>143</v>
      </c>
      <c r="B149" s="230"/>
      <c r="C149" s="160">
        <v>39</v>
      </c>
      <c r="D149" s="60">
        <v>169</v>
      </c>
      <c r="E149" s="50">
        <f>D149+C149</f>
        <v>208</v>
      </c>
      <c r="F149" s="204"/>
      <c r="G149" s="228"/>
      <c r="H149" s="99">
        <v>189</v>
      </c>
      <c r="I149" s="46">
        <f>H149+C149</f>
        <v>228</v>
      </c>
      <c r="J149" s="204"/>
      <c r="K149" s="228"/>
      <c r="L149" s="99">
        <v>138</v>
      </c>
      <c r="M149" s="50">
        <f>L149+C149</f>
        <v>177</v>
      </c>
      <c r="N149" s="204"/>
      <c r="O149" s="228"/>
      <c r="P149" s="99">
        <v>129</v>
      </c>
      <c r="Q149" s="50">
        <f>P149+C149</f>
        <v>168</v>
      </c>
      <c r="R149" s="204"/>
      <c r="S149" s="228"/>
      <c r="T149" s="99">
        <v>142</v>
      </c>
      <c r="U149" s="50">
        <f>T149+C149</f>
        <v>181</v>
      </c>
      <c r="V149" s="204"/>
      <c r="W149" s="228"/>
      <c r="X149" s="47">
        <f t="shared" si="4"/>
        <v>962</v>
      </c>
      <c r="Y149" s="107">
        <f>D149+H149+L149+P149+T149</f>
        <v>767</v>
      </c>
      <c r="Z149" s="68">
        <f>AVERAGE(E149,I149,M149,Q149,U149)</f>
        <v>192.4</v>
      </c>
      <c r="AA149" s="144">
        <f>AVERAGE(E149,I149,M149,Q149,U149)-C149</f>
        <v>153.4</v>
      </c>
      <c r="AB149" s="221"/>
    </row>
    <row r="150" spans="1:28" s="38" customFormat="1" ht="39" customHeight="1">
      <c r="A150" s="217" t="s">
        <v>74</v>
      </c>
      <c r="B150" s="218"/>
      <c r="C150" s="158">
        <f>SUM(C151:C153)</f>
        <v>132</v>
      </c>
      <c r="D150" s="62">
        <f>SUM(D151:D153)</f>
        <v>355</v>
      </c>
      <c r="E150" s="45">
        <f>SUM(E151:E153)</f>
        <v>487</v>
      </c>
      <c r="F150" s="45">
        <f>E146</f>
        <v>545</v>
      </c>
      <c r="G150" s="42" t="str">
        <f>A146</f>
        <v>LINNAKING</v>
      </c>
      <c r="H150" s="62">
        <f>SUM(H151:H153)</f>
        <v>341</v>
      </c>
      <c r="I150" s="45">
        <f>SUM(I151:I153)</f>
        <v>473</v>
      </c>
      <c r="J150" s="45">
        <f>I142</f>
        <v>570</v>
      </c>
      <c r="K150" s="42" t="str">
        <f>A142</f>
        <v>AVR Projekt</v>
      </c>
      <c r="L150" s="133">
        <f>SUM(L151:L153)</f>
        <v>316</v>
      </c>
      <c r="M150" s="49">
        <f>SUM(M151:M153)</f>
        <v>448</v>
      </c>
      <c r="N150" s="45">
        <f>M138</f>
        <v>486</v>
      </c>
      <c r="O150" s="42" t="str">
        <f>A138</f>
        <v>AKAT 2</v>
      </c>
      <c r="P150" s="45">
        <f>SUM(P151:P153)</f>
        <v>419</v>
      </c>
      <c r="Q150" s="49">
        <f>SUM(Q151:Q153)</f>
        <v>551</v>
      </c>
      <c r="R150" s="45">
        <f>Q154</f>
        <v>511</v>
      </c>
      <c r="S150" s="42" t="str">
        <f>A154</f>
        <v>STIK</v>
      </c>
      <c r="T150" s="133">
        <f>SUM(T151:T153)</f>
        <v>339</v>
      </c>
      <c r="U150" s="49">
        <f>SUM(U151:U153)</f>
        <v>471</v>
      </c>
      <c r="V150" s="45">
        <f>U158</f>
        <v>501</v>
      </c>
      <c r="W150" s="42" t="str">
        <f>A158</f>
        <v>TOODE</v>
      </c>
      <c r="X150" s="36">
        <f t="shared" si="4"/>
        <v>2430</v>
      </c>
      <c r="Y150" s="105">
        <f>SUM(Y151:Y153)</f>
        <v>1770</v>
      </c>
      <c r="Z150" s="65">
        <f>AVERAGE(Z151,Z152,Z153)</f>
        <v>162</v>
      </c>
      <c r="AA150" s="142">
        <f>AVERAGE(AA151,AA152,AA153)</f>
        <v>118</v>
      </c>
      <c r="AB150" s="219">
        <f>F151+J151+N151+R151+V151</f>
        <v>1</v>
      </c>
    </row>
    <row r="151" spans="1:28" s="38" customFormat="1" ht="15.75" customHeight="1">
      <c r="A151" s="222" t="s">
        <v>300</v>
      </c>
      <c r="B151" s="223"/>
      <c r="C151" s="159">
        <v>60</v>
      </c>
      <c r="D151" s="59">
        <v>102</v>
      </c>
      <c r="E151" s="50">
        <v>162</v>
      </c>
      <c r="F151" s="224">
        <v>0</v>
      </c>
      <c r="G151" s="225"/>
      <c r="H151" s="97">
        <v>48</v>
      </c>
      <c r="I151" s="46">
        <v>108</v>
      </c>
      <c r="J151" s="224">
        <v>0</v>
      </c>
      <c r="K151" s="225"/>
      <c r="L151" s="97">
        <v>77</v>
      </c>
      <c r="M151" s="50">
        <v>137</v>
      </c>
      <c r="N151" s="224">
        <v>0</v>
      </c>
      <c r="O151" s="225"/>
      <c r="P151" s="97">
        <v>98</v>
      </c>
      <c r="Q151" s="50">
        <v>158</v>
      </c>
      <c r="R151" s="224">
        <v>1</v>
      </c>
      <c r="S151" s="225"/>
      <c r="T151" s="97">
        <v>84</v>
      </c>
      <c r="U151" s="50">
        <f>T151+C151</f>
        <v>144</v>
      </c>
      <c r="V151" s="224">
        <v>0</v>
      </c>
      <c r="W151" s="225"/>
      <c r="X151" s="46">
        <f t="shared" si="4"/>
        <v>709</v>
      </c>
      <c r="Y151" s="106">
        <f>D151+H151+L151+P151+T151</f>
        <v>409</v>
      </c>
      <c r="Z151" s="67">
        <f>AVERAGE(E151,I151,M151,Q151,U151)</f>
        <v>141.8</v>
      </c>
      <c r="AA151" s="143">
        <f>AVERAGE(E151,I151,M151,Q151,U151)-C151</f>
        <v>81.80000000000001</v>
      </c>
      <c r="AB151" s="220"/>
    </row>
    <row r="152" spans="1:28" s="38" customFormat="1" ht="15.75" customHeight="1">
      <c r="A152" s="222" t="s">
        <v>81</v>
      </c>
      <c r="B152" s="223"/>
      <c r="C152" s="159">
        <v>29</v>
      </c>
      <c r="D152" s="59">
        <v>117</v>
      </c>
      <c r="E152" s="50">
        <v>146</v>
      </c>
      <c r="F152" s="226"/>
      <c r="G152" s="227"/>
      <c r="H152" s="98">
        <v>153</v>
      </c>
      <c r="I152" s="46">
        <v>182</v>
      </c>
      <c r="J152" s="226"/>
      <c r="K152" s="227"/>
      <c r="L152" s="98">
        <v>107</v>
      </c>
      <c r="M152" s="50">
        <v>136</v>
      </c>
      <c r="N152" s="226"/>
      <c r="O152" s="227"/>
      <c r="P152" s="98">
        <v>170</v>
      </c>
      <c r="Q152" s="50">
        <v>199</v>
      </c>
      <c r="R152" s="226"/>
      <c r="S152" s="227"/>
      <c r="T152" s="98">
        <v>117</v>
      </c>
      <c r="U152" s="50">
        <f>T152+C152</f>
        <v>146</v>
      </c>
      <c r="V152" s="226"/>
      <c r="W152" s="227"/>
      <c r="X152" s="46">
        <f t="shared" si="4"/>
        <v>809</v>
      </c>
      <c r="Y152" s="106">
        <f>D152+H152+L152+P152+T152</f>
        <v>664</v>
      </c>
      <c r="Z152" s="67">
        <f>AVERAGE(E152,I152,M152,Q152,U152)</f>
        <v>161.8</v>
      </c>
      <c r="AA152" s="143">
        <f>AVERAGE(E152,I152,M152,Q152,U152)-C152</f>
        <v>132.8</v>
      </c>
      <c r="AB152" s="220"/>
    </row>
    <row r="153" spans="1:29" s="38" customFormat="1" ht="15.75" customHeight="1" thickBot="1">
      <c r="A153" s="229" t="s">
        <v>83</v>
      </c>
      <c r="B153" s="230"/>
      <c r="C153" s="160">
        <v>43</v>
      </c>
      <c r="D153" s="60">
        <v>136</v>
      </c>
      <c r="E153" s="50">
        <v>179</v>
      </c>
      <c r="F153" s="204"/>
      <c r="G153" s="228"/>
      <c r="H153" s="99">
        <v>140</v>
      </c>
      <c r="I153" s="46">
        <v>183</v>
      </c>
      <c r="J153" s="204"/>
      <c r="K153" s="228"/>
      <c r="L153" s="99">
        <v>132</v>
      </c>
      <c r="M153" s="51">
        <v>175</v>
      </c>
      <c r="N153" s="204"/>
      <c r="O153" s="228"/>
      <c r="P153" s="99">
        <v>151</v>
      </c>
      <c r="Q153" s="50">
        <v>194</v>
      </c>
      <c r="R153" s="204"/>
      <c r="S153" s="228"/>
      <c r="T153" s="99">
        <v>138</v>
      </c>
      <c r="U153" s="50">
        <f>T153+C153</f>
        <v>181</v>
      </c>
      <c r="V153" s="204"/>
      <c r="W153" s="228"/>
      <c r="X153" s="47">
        <f t="shared" si="4"/>
        <v>912</v>
      </c>
      <c r="Y153" s="107">
        <f>D153+H153+L153+P153+T153</f>
        <v>697</v>
      </c>
      <c r="Z153" s="68">
        <f>AVERAGE(E153,I153,M153,Q153,U153)</f>
        <v>182.4</v>
      </c>
      <c r="AA153" s="144">
        <f>AVERAGE(E153,I153,M153,Q153,U153)-C153</f>
        <v>139.4</v>
      </c>
      <c r="AB153" s="221"/>
      <c r="AC153" s="44"/>
    </row>
    <row r="154" spans="1:28" s="38" customFormat="1" ht="40.5" customHeight="1">
      <c r="A154" s="217" t="s">
        <v>171</v>
      </c>
      <c r="B154" s="218"/>
      <c r="C154" s="158">
        <f>SUM(C155:C157)</f>
        <v>150</v>
      </c>
      <c r="D154" s="62">
        <f>SUM(D155:D157)</f>
        <v>386</v>
      </c>
      <c r="E154" s="45">
        <f>SUM(E155:E157)</f>
        <v>536</v>
      </c>
      <c r="F154" s="45">
        <f>E142</f>
        <v>520</v>
      </c>
      <c r="G154" s="42" t="str">
        <f>A142</f>
        <v>AVR Projekt</v>
      </c>
      <c r="H154" s="62">
        <f>SUM(H155:H157)</f>
        <v>428</v>
      </c>
      <c r="I154" s="45">
        <f>SUM(I155:I157)</f>
        <v>578</v>
      </c>
      <c r="J154" s="45">
        <f>I138</f>
        <v>509</v>
      </c>
      <c r="K154" s="42" t="str">
        <f>A138</f>
        <v>AKAT 2</v>
      </c>
      <c r="L154" s="133">
        <f>SUM(L155:L157)</f>
        <v>431</v>
      </c>
      <c r="M154" s="69">
        <f>SUM(M155:M157)</f>
        <v>536</v>
      </c>
      <c r="N154" s="45">
        <f>M158</f>
        <v>529</v>
      </c>
      <c r="O154" s="42" t="str">
        <f>A158</f>
        <v>TOODE</v>
      </c>
      <c r="P154" s="45">
        <f>SUM(P155:P157)</f>
        <v>361</v>
      </c>
      <c r="Q154" s="69">
        <f>SUM(Q155:Q157)</f>
        <v>511</v>
      </c>
      <c r="R154" s="45">
        <f>Q150</f>
        <v>551</v>
      </c>
      <c r="S154" s="42" t="str">
        <f>A150</f>
        <v>Vest-Wood 3</v>
      </c>
      <c r="T154" s="133">
        <f>SUM(T155:T157)</f>
        <v>295</v>
      </c>
      <c r="U154" s="69">
        <f>SUM(U155:U157)</f>
        <v>445</v>
      </c>
      <c r="V154" s="45">
        <f>U146</f>
        <v>515</v>
      </c>
      <c r="W154" s="42" t="str">
        <f>A146</f>
        <v>LINNAKING</v>
      </c>
      <c r="X154" s="36">
        <f t="shared" si="4"/>
        <v>2606</v>
      </c>
      <c r="Y154" s="105">
        <f>SUM(Y155:Y157)</f>
        <v>1901</v>
      </c>
      <c r="Z154" s="65">
        <f>AVERAGE(Z155,Z156,Z157)</f>
        <v>173.73333333333335</v>
      </c>
      <c r="AA154" s="142">
        <f>AVERAGE(AA155,AA156,AA157)</f>
        <v>123.73333333333333</v>
      </c>
      <c r="AB154" s="219">
        <f>F155+J155+N155+R155+V155</f>
        <v>3</v>
      </c>
    </row>
    <row r="155" spans="1:28" s="38" customFormat="1" ht="15.75" customHeight="1">
      <c r="A155" s="222" t="s">
        <v>182</v>
      </c>
      <c r="B155" s="223"/>
      <c r="C155" s="159">
        <v>35</v>
      </c>
      <c r="D155" s="59">
        <v>129</v>
      </c>
      <c r="E155" s="50">
        <v>164</v>
      </c>
      <c r="F155" s="224">
        <v>1</v>
      </c>
      <c r="G155" s="225"/>
      <c r="H155" s="97">
        <v>198</v>
      </c>
      <c r="I155" s="46">
        <v>233</v>
      </c>
      <c r="J155" s="224">
        <v>1</v>
      </c>
      <c r="K155" s="225"/>
      <c r="L155" s="97">
        <v>157</v>
      </c>
      <c r="M155" s="50">
        <v>192</v>
      </c>
      <c r="N155" s="224">
        <v>1</v>
      </c>
      <c r="O155" s="225"/>
      <c r="P155" s="97">
        <v>117</v>
      </c>
      <c r="Q155" s="50">
        <v>152</v>
      </c>
      <c r="R155" s="224">
        <v>0</v>
      </c>
      <c r="S155" s="225"/>
      <c r="T155" s="97">
        <v>97</v>
      </c>
      <c r="U155" s="50">
        <f>T155+C155</f>
        <v>132</v>
      </c>
      <c r="V155" s="224">
        <v>0</v>
      </c>
      <c r="W155" s="225"/>
      <c r="X155" s="46">
        <f t="shared" si="4"/>
        <v>873</v>
      </c>
      <c r="Y155" s="106">
        <f>D155+H155+L155+P155+T155</f>
        <v>698</v>
      </c>
      <c r="Z155" s="67">
        <f>AVERAGE(E155,I155,M155,Q155,U155)</f>
        <v>174.6</v>
      </c>
      <c r="AA155" s="143">
        <f>AVERAGE(E155,I155,M155,Q155,U155)-C155</f>
        <v>139.6</v>
      </c>
      <c r="AB155" s="220"/>
    </row>
    <row r="156" spans="1:28" s="38" customFormat="1" ht="15.75" customHeight="1">
      <c r="A156" s="222" t="s">
        <v>183</v>
      </c>
      <c r="B156" s="223"/>
      <c r="C156" s="159">
        <v>55</v>
      </c>
      <c r="D156" s="59">
        <v>139</v>
      </c>
      <c r="E156" s="50">
        <v>194</v>
      </c>
      <c r="F156" s="226"/>
      <c r="G156" s="227"/>
      <c r="H156" s="98">
        <v>121</v>
      </c>
      <c r="I156" s="46">
        <v>176</v>
      </c>
      <c r="J156" s="226"/>
      <c r="K156" s="227"/>
      <c r="L156" s="98">
        <v>139</v>
      </c>
      <c r="M156" s="50">
        <v>149</v>
      </c>
      <c r="N156" s="226"/>
      <c r="O156" s="227"/>
      <c r="P156" s="98">
        <v>148</v>
      </c>
      <c r="Q156" s="50">
        <v>203</v>
      </c>
      <c r="R156" s="226"/>
      <c r="S156" s="227"/>
      <c r="T156" s="98">
        <v>102</v>
      </c>
      <c r="U156" s="50">
        <f>T156+C156</f>
        <v>157</v>
      </c>
      <c r="V156" s="226"/>
      <c r="W156" s="227"/>
      <c r="X156" s="46">
        <f t="shared" si="4"/>
        <v>879</v>
      </c>
      <c r="Y156" s="106">
        <f>D156+H156+L156+P156+T156</f>
        <v>649</v>
      </c>
      <c r="Z156" s="67">
        <f>AVERAGE(E156,I156,M156,Q156,U156)</f>
        <v>175.8</v>
      </c>
      <c r="AA156" s="143">
        <f>AVERAGE(E156,I156,M156,Q156,U156)-C156</f>
        <v>120.80000000000001</v>
      </c>
      <c r="AB156" s="220"/>
    </row>
    <row r="157" spans="1:28" s="38" customFormat="1" ht="15.75" customHeight="1" thickBot="1">
      <c r="A157" s="229" t="s">
        <v>184</v>
      </c>
      <c r="B157" s="230"/>
      <c r="C157" s="160">
        <v>60</v>
      </c>
      <c r="D157" s="60">
        <v>118</v>
      </c>
      <c r="E157" s="50">
        <v>178</v>
      </c>
      <c r="F157" s="204"/>
      <c r="G157" s="228"/>
      <c r="H157" s="99">
        <v>109</v>
      </c>
      <c r="I157" s="46">
        <v>169</v>
      </c>
      <c r="J157" s="204"/>
      <c r="K157" s="228"/>
      <c r="L157" s="99">
        <v>135</v>
      </c>
      <c r="M157" s="51">
        <v>195</v>
      </c>
      <c r="N157" s="204"/>
      <c r="O157" s="228"/>
      <c r="P157" s="99">
        <v>96</v>
      </c>
      <c r="Q157" s="50">
        <v>156</v>
      </c>
      <c r="R157" s="204"/>
      <c r="S157" s="228"/>
      <c r="T157" s="99">
        <v>96</v>
      </c>
      <c r="U157" s="50">
        <f>T157+C157</f>
        <v>156</v>
      </c>
      <c r="V157" s="204"/>
      <c r="W157" s="228"/>
      <c r="X157" s="47">
        <f t="shared" si="4"/>
        <v>854</v>
      </c>
      <c r="Y157" s="107">
        <f>D157+H157+L157+P157+T157</f>
        <v>554</v>
      </c>
      <c r="Z157" s="68">
        <f>AVERAGE(E157,I157,M157,Q157,U157)</f>
        <v>170.8</v>
      </c>
      <c r="AA157" s="144">
        <f>AVERAGE(E157,I157,M157,Q157,U157)-C157</f>
        <v>110.80000000000001</v>
      </c>
      <c r="AB157" s="221"/>
    </row>
    <row r="158" spans="1:28" s="38" customFormat="1" ht="42" customHeight="1">
      <c r="A158" s="217" t="s">
        <v>175</v>
      </c>
      <c r="B158" s="218"/>
      <c r="C158" s="158">
        <f>SUM(C159:C161)</f>
        <v>131</v>
      </c>
      <c r="D158" s="62">
        <f>SUM(D159:D161)</f>
        <v>429</v>
      </c>
      <c r="E158" s="45">
        <f>SUM(E159:E161)</f>
        <v>560</v>
      </c>
      <c r="F158" s="45">
        <f>E138</f>
        <v>513</v>
      </c>
      <c r="G158" s="42" t="str">
        <f>A138</f>
        <v>AKAT 2</v>
      </c>
      <c r="H158" s="62">
        <f>SUM(H159:H161)</f>
        <v>408</v>
      </c>
      <c r="I158" s="45">
        <f>SUM(I159:I161)</f>
        <v>539</v>
      </c>
      <c r="J158" s="45">
        <f>I146</f>
        <v>582</v>
      </c>
      <c r="K158" s="42" t="str">
        <f>A146</f>
        <v>LINNAKING</v>
      </c>
      <c r="L158" s="133">
        <f>SUM(L159:L161)</f>
        <v>398</v>
      </c>
      <c r="M158" s="49">
        <f>SUM(M159:M161)</f>
        <v>529</v>
      </c>
      <c r="N158" s="45">
        <f>M154</f>
        <v>536</v>
      </c>
      <c r="O158" s="42" t="str">
        <f>A154</f>
        <v>STIK</v>
      </c>
      <c r="P158" s="45">
        <f>SUM(P159:P161)</f>
        <v>395</v>
      </c>
      <c r="Q158" s="49">
        <f>SUM(Q159:Q161)</f>
        <v>526</v>
      </c>
      <c r="R158" s="45">
        <f>Q142</f>
        <v>551</v>
      </c>
      <c r="S158" s="42" t="str">
        <f>A142</f>
        <v>AVR Projekt</v>
      </c>
      <c r="T158" s="133">
        <f>SUM(T159:T161)</f>
        <v>370</v>
      </c>
      <c r="U158" s="49">
        <f>SUM(U159:U161)</f>
        <v>501</v>
      </c>
      <c r="V158" s="45">
        <f>U150</f>
        <v>471</v>
      </c>
      <c r="W158" s="42" t="str">
        <f>A150</f>
        <v>Vest-Wood 3</v>
      </c>
      <c r="X158" s="36">
        <f t="shared" si="4"/>
        <v>2655</v>
      </c>
      <c r="Y158" s="105">
        <f>SUM(Y159:Y161)</f>
        <v>2000</v>
      </c>
      <c r="Z158" s="65">
        <f>AVERAGE(Z159,Z160,Z161)</f>
        <v>177</v>
      </c>
      <c r="AA158" s="142">
        <f>AVERAGE(AA159,AA160,AA161)</f>
        <v>133.33333333333334</v>
      </c>
      <c r="AB158" s="219">
        <f>F159+J159+N159+R159+V159</f>
        <v>2</v>
      </c>
    </row>
    <row r="159" spans="1:28" s="38" customFormat="1" ht="15.75" customHeight="1">
      <c r="A159" s="222" t="s">
        <v>179</v>
      </c>
      <c r="B159" s="223"/>
      <c r="C159" s="159">
        <v>37</v>
      </c>
      <c r="D159" s="59">
        <v>158</v>
      </c>
      <c r="E159" s="50">
        <v>195</v>
      </c>
      <c r="F159" s="224">
        <v>1</v>
      </c>
      <c r="G159" s="225"/>
      <c r="H159" s="97">
        <v>131</v>
      </c>
      <c r="I159" s="46">
        <v>168</v>
      </c>
      <c r="J159" s="224">
        <v>0</v>
      </c>
      <c r="K159" s="225"/>
      <c r="L159" s="97">
        <v>134</v>
      </c>
      <c r="M159" s="50">
        <v>171</v>
      </c>
      <c r="N159" s="224">
        <v>0</v>
      </c>
      <c r="O159" s="225"/>
      <c r="P159" s="97">
        <v>135</v>
      </c>
      <c r="Q159" s="50">
        <v>172</v>
      </c>
      <c r="R159" s="224">
        <v>0</v>
      </c>
      <c r="S159" s="225"/>
      <c r="T159" s="97">
        <v>133</v>
      </c>
      <c r="U159" s="50">
        <f>T159+C159</f>
        <v>170</v>
      </c>
      <c r="V159" s="224">
        <v>1</v>
      </c>
      <c r="W159" s="225"/>
      <c r="X159" s="46">
        <f t="shared" si="4"/>
        <v>876</v>
      </c>
      <c r="Y159" s="106">
        <f>D159+H159+L159+P159+T159</f>
        <v>691</v>
      </c>
      <c r="Z159" s="67">
        <f>AVERAGE(E159,I159,M159,Q159,U159)</f>
        <v>175.2</v>
      </c>
      <c r="AA159" s="143">
        <f>AVERAGE(E159,I159,M159,Q159,U159)-C159</f>
        <v>138.2</v>
      </c>
      <c r="AB159" s="220"/>
    </row>
    <row r="160" spans="1:28" s="38" customFormat="1" ht="15.75" customHeight="1">
      <c r="A160" s="222" t="s">
        <v>180</v>
      </c>
      <c r="B160" s="223"/>
      <c r="C160" s="159">
        <v>60</v>
      </c>
      <c r="D160" s="59">
        <v>130</v>
      </c>
      <c r="E160" s="50">
        <v>190</v>
      </c>
      <c r="F160" s="226"/>
      <c r="G160" s="227"/>
      <c r="H160" s="98">
        <v>98</v>
      </c>
      <c r="I160" s="46">
        <v>158</v>
      </c>
      <c r="J160" s="226"/>
      <c r="K160" s="227"/>
      <c r="L160" s="98">
        <v>129</v>
      </c>
      <c r="M160" s="50">
        <v>189</v>
      </c>
      <c r="N160" s="226"/>
      <c r="O160" s="227"/>
      <c r="P160" s="98">
        <v>111</v>
      </c>
      <c r="Q160" s="50">
        <v>171</v>
      </c>
      <c r="R160" s="226"/>
      <c r="S160" s="227"/>
      <c r="T160" s="98">
        <v>95</v>
      </c>
      <c r="U160" s="50">
        <f>T160+C160</f>
        <v>155</v>
      </c>
      <c r="V160" s="226"/>
      <c r="W160" s="227"/>
      <c r="X160" s="46">
        <f t="shared" si="4"/>
        <v>863</v>
      </c>
      <c r="Y160" s="106">
        <f>D160+H160+L160+P160+T160</f>
        <v>563</v>
      </c>
      <c r="Z160" s="67">
        <f>AVERAGE(E160,I160,M160,Q160,U160)</f>
        <v>172.6</v>
      </c>
      <c r="AA160" s="143">
        <f>AVERAGE(E160,I160,M160,Q160,U160)-C160</f>
        <v>112.6</v>
      </c>
      <c r="AB160" s="220"/>
    </row>
    <row r="161" spans="1:28" s="38" customFormat="1" ht="15.75" customHeight="1" thickBot="1">
      <c r="A161" s="229" t="s">
        <v>181</v>
      </c>
      <c r="B161" s="230"/>
      <c r="C161" s="160">
        <v>34</v>
      </c>
      <c r="D161" s="60">
        <v>141</v>
      </c>
      <c r="E161" s="50">
        <v>175</v>
      </c>
      <c r="F161" s="204"/>
      <c r="G161" s="228"/>
      <c r="H161" s="99">
        <v>179</v>
      </c>
      <c r="I161" s="46">
        <v>213</v>
      </c>
      <c r="J161" s="204"/>
      <c r="K161" s="228"/>
      <c r="L161" s="99">
        <v>135</v>
      </c>
      <c r="M161" s="51">
        <v>169</v>
      </c>
      <c r="N161" s="204"/>
      <c r="O161" s="228"/>
      <c r="P161" s="99">
        <v>149</v>
      </c>
      <c r="Q161" s="50">
        <v>183</v>
      </c>
      <c r="R161" s="204"/>
      <c r="S161" s="228"/>
      <c r="T161" s="99">
        <v>142</v>
      </c>
      <c r="U161" s="50">
        <f>T161+C161</f>
        <v>176</v>
      </c>
      <c r="V161" s="204"/>
      <c r="W161" s="228"/>
      <c r="X161" s="47">
        <f t="shared" si="4"/>
        <v>916</v>
      </c>
      <c r="Y161" s="107">
        <f>D161+H161+L161+P161+T161</f>
        <v>746</v>
      </c>
      <c r="Z161" s="68">
        <f>AVERAGE(E161,I161,M161,Q161,U161)</f>
        <v>183.2</v>
      </c>
      <c r="AA161" s="144">
        <f>AVERAGE(E161,I161,M161,Q161,U161)-C161</f>
        <v>149.2</v>
      </c>
      <c r="AB161" s="221"/>
    </row>
    <row r="164" spans="1:28" s="40" customFormat="1" ht="3.75" customHeight="1">
      <c r="A164" s="207" t="s">
        <v>298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4"/>
      <c r="W164" s="25"/>
      <c r="Y164" s="57"/>
      <c r="Z164" s="41"/>
      <c r="AA164" s="139"/>
      <c r="AB164" s="25"/>
    </row>
    <row r="165" spans="1:28" s="40" customFormat="1" ht="6" customHeight="1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4"/>
      <c r="W165" s="25"/>
      <c r="Y165" s="57"/>
      <c r="Z165" s="41"/>
      <c r="AA165" s="139"/>
      <c r="AB165" s="25"/>
    </row>
    <row r="166" spans="1:28" s="40" customFormat="1" ht="23.25" customHeight="1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5"/>
      <c r="W166" s="25"/>
      <c r="Y166" s="57"/>
      <c r="Z166" s="41"/>
      <c r="AA166" s="139"/>
      <c r="AB166" s="25"/>
    </row>
    <row r="167" spans="1:28" s="31" customFormat="1" ht="15.75" customHeight="1">
      <c r="A167" s="209" t="s">
        <v>0</v>
      </c>
      <c r="B167" s="210"/>
      <c r="C167" s="156" t="s">
        <v>39</v>
      </c>
      <c r="D167" s="55"/>
      <c r="E167" s="27" t="s">
        <v>1</v>
      </c>
      <c r="F167" s="211" t="s">
        <v>2</v>
      </c>
      <c r="G167" s="212"/>
      <c r="H167" s="94"/>
      <c r="I167" s="27" t="s">
        <v>3</v>
      </c>
      <c r="J167" s="211" t="s">
        <v>2</v>
      </c>
      <c r="K167" s="212"/>
      <c r="L167" s="94"/>
      <c r="M167" s="27" t="s">
        <v>4</v>
      </c>
      <c r="N167" s="211" t="s">
        <v>2</v>
      </c>
      <c r="O167" s="212"/>
      <c r="P167" s="94"/>
      <c r="Q167" s="27" t="s">
        <v>5</v>
      </c>
      <c r="R167" s="211" t="s">
        <v>2</v>
      </c>
      <c r="S167" s="212"/>
      <c r="T167" s="94"/>
      <c r="U167" s="27" t="s">
        <v>6</v>
      </c>
      <c r="V167" s="211" t="s">
        <v>2</v>
      </c>
      <c r="W167" s="212"/>
      <c r="X167" s="28" t="s">
        <v>7</v>
      </c>
      <c r="Y167" s="104"/>
      <c r="Z167" s="29" t="s">
        <v>40</v>
      </c>
      <c r="AA167" s="140" t="s">
        <v>42</v>
      </c>
      <c r="AB167" s="30" t="s">
        <v>7</v>
      </c>
    </row>
    <row r="168" spans="1:28" s="31" customFormat="1" ht="15.75" customHeight="1" thickBot="1">
      <c r="A168" s="213" t="s">
        <v>9</v>
      </c>
      <c r="B168" s="214"/>
      <c r="C168" s="157"/>
      <c r="D168" s="56"/>
      <c r="E168" s="32" t="s">
        <v>10</v>
      </c>
      <c r="F168" s="211" t="s">
        <v>11</v>
      </c>
      <c r="G168" s="212"/>
      <c r="H168" s="95"/>
      <c r="I168" s="32" t="s">
        <v>10</v>
      </c>
      <c r="J168" s="215" t="s">
        <v>11</v>
      </c>
      <c r="K168" s="216"/>
      <c r="L168" s="95"/>
      <c r="M168" s="32" t="s">
        <v>10</v>
      </c>
      <c r="N168" s="215" t="s">
        <v>11</v>
      </c>
      <c r="O168" s="216"/>
      <c r="P168" s="95"/>
      <c r="Q168" s="32" t="s">
        <v>10</v>
      </c>
      <c r="R168" s="215" t="s">
        <v>11</v>
      </c>
      <c r="S168" s="216"/>
      <c r="T168" s="95"/>
      <c r="U168" s="32" t="s">
        <v>10</v>
      </c>
      <c r="V168" s="215" t="s">
        <v>11</v>
      </c>
      <c r="W168" s="216"/>
      <c r="X168" s="33" t="s">
        <v>10</v>
      </c>
      <c r="Y168" s="134" t="s">
        <v>287</v>
      </c>
      <c r="Z168" s="34" t="s">
        <v>41</v>
      </c>
      <c r="AA168" s="141" t="s">
        <v>43</v>
      </c>
      <c r="AB168" s="35" t="s">
        <v>12</v>
      </c>
    </row>
    <row r="169" spans="1:28" s="38" customFormat="1" ht="42" customHeight="1">
      <c r="A169" s="217" t="s">
        <v>229</v>
      </c>
      <c r="B169" s="218"/>
      <c r="C169" s="158">
        <f>SUM(C170:C172)</f>
        <v>173</v>
      </c>
      <c r="D169" s="62">
        <f>SUM(D170:D172)</f>
        <v>341</v>
      </c>
      <c r="E169" s="63">
        <f>SUM(E170:E172)</f>
        <v>514</v>
      </c>
      <c r="F169" s="46">
        <f>E189</f>
        <v>554</v>
      </c>
      <c r="G169" s="64" t="str">
        <f>A189</f>
        <v>RAKTOOM</v>
      </c>
      <c r="H169" s="62">
        <f>SUM(H170:H172)</f>
        <v>285</v>
      </c>
      <c r="I169" s="49">
        <f>SUM(I170:I172)</f>
        <v>458</v>
      </c>
      <c r="J169" s="49">
        <f>I185</f>
        <v>465</v>
      </c>
      <c r="K169" s="42" t="str">
        <f>A185</f>
        <v>Vest-Wood 2</v>
      </c>
      <c r="L169" s="58">
        <f>SUM(L170:L172)</f>
        <v>379</v>
      </c>
      <c r="M169" s="45">
        <f>SUM(M170:M172)</f>
        <v>552</v>
      </c>
      <c r="N169" s="45">
        <f>M181</f>
        <v>499</v>
      </c>
      <c r="O169" s="42" t="str">
        <f>A181</f>
        <v>AKAT 1</v>
      </c>
      <c r="P169" s="45">
        <f>SUM(P170:P172)</f>
        <v>362</v>
      </c>
      <c r="Q169" s="45">
        <f>SUM(Q170:Q172)</f>
        <v>535</v>
      </c>
      <c r="R169" s="45">
        <f>Q177</f>
        <v>508</v>
      </c>
      <c r="S169" s="42" t="str">
        <f>A177</f>
        <v>MP AUTO</v>
      </c>
      <c r="T169" s="133">
        <f>SUM(T170:T172)</f>
        <v>373</v>
      </c>
      <c r="U169" s="45">
        <f>SUM(U170:U172)</f>
        <v>546</v>
      </c>
      <c r="V169" s="45">
        <f>U173</f>
        <v>545</v>
      </c>
      <c r="W169" s="42" t="str">
        <f>A173</f>
        <v>ASSAR LUKUAUK</v>
      </c>
      <c r="X169" s="36">
        <f aca="true" t="shared" si="5" ref="X169:X192">E169+I169+M169+Q169+U169</f>
        <v>2605</v>
      </c>
      <c r="Y169" s="105">
        <f>SUM(Y170:Y172)</f>
        <v>1740</v>
      </c>
      <c r="Z169" s="37">
        <f>AVERAGE(Z170,Z171,Z172)</f>
        <v>173.66666666666666</v>
      </c>
      <c r="AA169" s="142">
        <f>AVERAGE(AA170,AA171,AA172)</f>
        <v>116</v>
      </c>
      <c r="AB169" s="219">
        <f>F170+J170+N170+R170+V170</f>
        <v>3</v>
      </c>
    </row>
    <row r="170" spans="1:28" s="38" customFormat="1" ht="15.75" customHeight="1">
      <c r="A170" s="222" t="s">
        <v>232</v>
      </c>
      <c r="B170" s="223"/>
      <c r="C170" s="159">
        <v>57</v>
      </c>
      <c r="D170" s="59">
        <v>119</v>
      </c>
      <c r="E170" s="50">
        <f>D170+C170</f>
        <v>176</v>
      </c>
      <c r="F170" s="224">
        <v>0</v>
      </c>
      <c r="G170" s="225"/>
      <c r="H170" s="97">
        <v>109</v>
      </c>
      <c r="I170" s="46">
        <f>H170+C170</f>
        <v>166</v>
      </c>
      <c r="J170" s="224">
        <v>0</v>
      </c>
      <c r="K170" s="225"/>
      <c r="L170" s="97">
        <v>137</v>
      </c>
      <c r="M170" s="50">
        <f>L170+C170</f>
        <v>194</v>
      </c>
      <c r="N170" s="224">
        <v>1</v>
      </c>
      <c r="O170" s="225"/>
      <c r="P170" s="97">
        <v>130</v>
      </c>
      <c r="Q170" s="50">
        <f>P170+C170</f>
        <v>187</v>
      </c>
      <c r="R170" s="224">
        <v>1</v>
      </c>
      <c r="S170" s="225"/>
      <c r="T170" s="97">
        <v>128</v>
      </c>
      <c r="U170" s="50">
        <f>T170+C170</f>
        <v>185</v>
      </c>
      <c r="V170" s="224">
        <v>1</v>
      </c>
      <c r="W170" s="225"/>
      <c r="X170" s="46">
        <f t="shared" si="5"/>
        <v>908</v>
      </c>
      <c r="Y170" s="106">
        <f>D170+H170+L170+P170+T170</f>
        <v>623</v>
      </c>
      <c r="Z170" s="67">
        <f>AVERAGE(E170,I170,M170,Q170,U170)</f>
        <v>181.6</v>
      </c>
      <c r="AA170" s="143">
        <f>AVERAGE(E170,I170,M170,Q170,U170)-C170</f>
        <v>124.6</v>
      </c>
      <c r="AB170" s="220"/>
    </row>
    <row r="171" spans="1:28" s="38" customFormat="1" ht="15.75" customHeight="1">
      <c r="A171" s="222" t="s">
        <v>230</v>
      </c>
      <c r="B171" s="223"/>
      <c r="C171" s="159">
        <v>56</v>
      </c>
      <c r="D171" s="59">
        <v>107</v>
      </c>
      <c r="E171" s="50">
        <f>D171+C171</f>
        <v>163</v>
      </c>
      <c r="F171" s="226"/>
      <c r="G171" s="227"/>
      <c r="H171" s="98">
        <v>91</v>
      </c>
      <c r="I171" s="46">
        <f>H171+C171</f>
        <v>147</v>
      </c>
      <c r="J171" s="226"/>
      <c r="K171" s="227"/>
      <c r="L171" s="98">
        <v>123</v>
      </c>
      <c r="M171" s="50">
        <f>L171+C171</f>
        <v>179</v>
      </c>
      <c r="N171" s="226"/>
      <c r="O171" s="227"/>
      <c r="P171" s="98">
        <v>87</v>
      </c>
      <c r="Q171" s="50">
        <f>P171+C171</f>
        <v>143</v>
      </c>
      <c r="R171" s="226"/>
      <c r="S171" s="227"/>
      <c r="T171" s="98">
        <v>104</v>
      </c>
      <c r="U171" s="50">
        <f>T171+C171</f>
        <v>160</v>
      </c>
      <c r="V171" s="226"/>
      <c r="W171" s="227"/>
      <c r="X171" s="46">
        <f t="shared" si="5"/>
        <v>792</v>
      </c>
      <c r="Y171" s="106">
        <f>D171+H171+L171+P171+T171</f>
        <v>512</v>
      </c>
      <c r="Z171" s="67">
        <f>AVERAGE(E171,I171,M171,Q171,U171)</f>
        <v>158.4</v>
      </c>
      <c r="AA171" s="143">
        <f>AVERAGE(E171,I171,M171,Q171,U171)-C171</f>
        <v>102.4</v>
      </c>
      <c r="AB171" s="220"/>
    </row>
    <row r="172" spans="1:28" s="38" customFormat="1" ht="16.5" customHeight="1" thickBot="1">
      <c r="A172" s="229" t="s">
        <v>231</v>
      </c>
      <c r="B172" s="230"/>
      <c r="C172" s="160">
        <v>60</v>
      </c>
      <c r="D172" s="60">
        <v>115</v>
      </c>
      <c r="E172" s="50">
        <f>D172+C172</f>
        <v>175</v>
      </c>
      <c r="F172" s="204"/>
      <c r="G172" s="228"/>
      <c r="H172" s="99">
        <v>85</v>
      </c>
      <c r="I172" s="46">
        <f>H172+C172</f>
        <v>145</v>
      </c>
      <c r="J172" s="204"/>
      <c r="K172" s="228"/>
      <c r="L172" s="99">
        <v>119</v>
      </c>
      <c r="M172" s="51">
        <f>L172+C172</f>
        <v>179</v>
      </c>
      <c r="N172" s="204"/>
      <c r="O172" s="228"/>
      <c r="P172" s="99">
        <v>145</v>
      </c>
      <c r="Q172" s="50">
        <f>P172+C172</f>
        <v>205</v>
      </c>
      <c r="R172" s="204"/>
      <c r="S172" s="228"/>
      <c r="T172" s="99">
        <v>141</v>
      </c>
      <c r="U172" s="50">
        <f>T172+C172</f>
        <v>201</v>
      </c>
      <c r="V172" s="204"/>
      <c r="W172" s="228"/>
      <c r="X172" s="47">
        <f t="shared" si="5"/>
        <v>905</v>
      </c>
      <c r="Y172" s="107">
        <f>D172+H172+L172+P172+T172</f>
        <v>605</v>
      </c>
      <c r="Z172" s="68">
        <f>AVERAGE(E172,I172,M172,Q172,U172)</f>
        <v>181</v>
      </c>
      <c r="AA172" s="144">
        <f>AVERAGE(E172,I172,M172,Q172,U172)-C172</f>
        <v>121</v>
      </c>
      <c r="AB172" s="221"/>
    </row>
    <row r="173" spans="1:28" s="38" customFormat="1" ht="41.25" customHeight="1">
      <c r="A173" s="217" t="s">
        <v>199</v>
      </c>
      <c r="B173" s="218"/>
      <c r="C173" s="158">
        <f>SUM(C174:C176)</f>
        <v>77</v>
      </c>
      <c r="D173" s="62">
        <f>SUM(D174:D176)</f>
        <v>476</v>
      </c>
      <c r="E173" s="45">
        <f>SUM(E174:E176)</f>
        <v>553</v>
      </c>
      <c r="F173" s="45">
        <f>E185</f>
        <v>575</v>
      </c>
      <c r="G173" s="42" t="str">
        <f>A185</f>
        <v>Vest-Wood 2</v>
      </c>
      <c r="H173" s="62">
        <f>SUM(H174:H176)</f>
        <v>432</v>
      </c>
      <c r="I173" s="45">
        <f>SUM(I174:I176)</f>
        <v>509</v>
      </c>
      <c r="J173" s="45">
        <f>I181</f>
        <v>605</v>
      </c>
      <c r="K173" s="42" t="str">
        <f>A181</f>
        <v>AKAT 1</v>
      </c>
      <c r="L173" s="133">
        <f>SUM(L174:L176)</f>
        <v>486</v>
      </c>
      <c r="M173" s="49">
        <f>SUM(M174:M176)</f>
        <v>563</v>
      </c>
      <c r="N173" s="45">
        <f>M177</f>
        <v>474</v>
      </c>
      <c r="O173" s="42" t="str">
        <f>A177</f>
        <v>MP AUTO</v>
      </c>
      <c r="P173" s="45">
        <f>SUM(P174:P176)</f>
        <v>458</v>
      </c>
      <c r="Q173" s="49">
        <f>SUM(Q174:Q176)</f>
        <v>535</v>
      </c>
      <c r="R173" s="45">
        <f>Q189</f>
        <v>536</v>
      </c>
      <c r="S173" s="42" t="str">
        <f>A189</f>
        <v>RAKTOOM</v>
      </c>
      <c r="T173" s="133">
        <f>SUM(T174:T176)</f>
        <v>468</v>
      </c>
      <c r="U173" s="49">
        <f>SUM(U174:U176)</f>
        <v>545</v>
      </c>
      <c r="V173" s="45">
        <f>U169</f>
        <v>546</v>
      </c>
      <c r="W173" s="42" t="str">
        <f>A169</f>
        <v>RT EHITUS</v>
      </c>
      <c r="X173" s="36">
        <f t="shared" si="5"/>
        <v>2705</v>
      </c>
      <c r="Y173" s="105">
        <f>SUM(Y174:Y176)</f>
        <v>2320</v>
      </c>
      <c r="Z173" s="65">
        <f>AVERAGE(Z174,Z175,Z176)</f>
        <v>180.33333333333334</v>
      </c>
      <c r="AA173" s="142">
        <f>AVERAGE(AA174,AA175,AA176)</f>
        <v>154.66666666666666</v>
      </c>
      <c r="AB173" s="219">
        <f>F174+J174+N174+R174+V174</f>
        <v>1</v>
      </c>
    </row>
    <row r="174" spans="1:28" s="38" customFormat="1" ht="15.75" customHeight="1">
      <c r="A174" s="222" t="s">
        <v>218</v>
      </c>
      <c r="B174" s="223"/>
      <c r="C174" s="159">
        <v>12</v>
      </c>
      <c r="D174" s="59">
        <v>171</v>
      </c>
      <c r="E174" s="50">
        <f>D174+C174</f>
        <v>183</v>
      </c>
      <c r="F174" s="224">
        <v>0</v>
      </c>
      <c r="G174" s="225"/>
      <c r="H174" s="97">
        <v>153</v>
      </c>
      <c r="I174" s="46">
        <f>H174+C174</f>
        <v>165</v>
      </c>
      <c r="J174" s="224">
        <v>0</v>
      </c>
      <c r="K174" s="225"/>
      <c r="L174" s="97">
        <v>199</v>
      </c>
      <c r="M174" s="50">
        <f>L174+C174</f>
        <v>211</v>
      </c>
      <c r="N174" s="224">
        <v>1</v>
      </c>
      <c r="O174" s="225"/>
      <c r="P174" s="97">
        <v>158</v>
      </c>
      <c r="Q174" s="50">
        <f>P174+C174</f>
        <v>170</v>
      </c>
      <c r="R174" s="224">
        <v>0</v>
      </c>
      <c r="S174" s="225"/>
      <c r="T174" s="97">
        <v>179</v>
      </c>
      <c r="U174" s="50">
        <f>T174+C174</f>
        <v>191</v>
      </c>
      <c r="V174" s="224">
        <v>0</v>
      </c>
      <c r="W174" s="225"/>
      <c r="X174" s="46">
        <f t="shared" si="5"/>
        <v>920</v>
      </c>
      <c r="Y174" s="106">
        <f>D174+H174+L174+P174+T174</f>
        <v>860</v>
      </c>
      <c r="Z174" s="67">
        <f>AVERAGE(E174,I174,M174,Q174,U174)</f>
        <v>184</v>
      </c>
      <c r="AA174" s="143">
        <f>AVERAGE(E174,I174,M174,Q174,U174)-C174</f>
        <v>172</v>
      </c>
      <c r="AB174" s="220"/>
    </row>
    <row r="175" spans="1:28" s="38" customFormat="1" ht="15.75" customHeight="1">
      <c r="A175" s="222" t="s">
        <v>219</v>
      </c>
      <c r="B175" s="223"/>
      <c r="C175" s="159">
        <v>32</v>
      </c>
      <c r="D175" s="59">
        <v>161</v>
      </c>
      <c r="E175" s="50">
        <f>D175+C175</f>
        <v>193</v>
      </c>
      <c r="F175" s="226"/>
      <c r="G175" s="227"/>
      <c r="H175" s="98">
        <v>164</v>
      </c>
      <c r="I175" s="46">
        <f>H175+C175</f>
        <v>196</v>
      </c>
      <c r="J175" s="226"/>
      <c r="K175" s="227"/>
      <c r="L175" s="98">
        <v>154</v>
      </c>
      <c r="M175" s="50">
        <f>L175+C175</f>
        <v>186</v>
      </c>
      <c r="N175" s="226"/>
      <c r="O175" s="227"/>
      <c r="P175" s="98">
        <v>136</v>
      </c>
      <c r="Q175" s="50">
        <f>P175+C175</f>
        <v>168</v>
      </c>
      <c r="R175" s="226"/>
      <c r="S175" s="227"/>
      <c r="T175" s="98">
        <v>162</v>
      </c>
      <c r="U175" s="50">
        <f>T175+C175</f>
        <v>194</v>
      </c>
      <c r="V175" s="226"/>
      <c r="W175" s="227"/>
      <c r="X175" s="46">
        <f t="shared" si="5"/>
        <v>937</v>
      </c>
      <c r="Y175" s="106">
        <f>D175+H175+L175+P175+T175</f>
        <v>777</v>
      </c>
      <c r="Z175" s="67">
        <f>AVERAGE(E175,I175,M175,Q175,U175)</f>
        <v>187.4</v>
      </c>
      <c r="AA175" s="143">
        <f>AVERAGE(E175,I175,M175,Q175,U175)-C175</f>
        <v>155.4</v>
      </c>
      <c r="AB175" s="220"/>
    </row>
    <row r="176" spans="1:28" s="38" customFormat="1" ht="15.75" customHeight="1" thickBot="1">
      <c r="A176" s="229" t="s">
        <v>220</v>
      </c>
      <c r="B176" s="230"/>
      <c r="C176" s="160">
        <v>33</v>
      </c>
      <c r="D176" s="60">
        <v>144</v>
      </c>
      <c r="E176" s="50">
        <f>D176+C176</f>
        <v>177</v>
      </c>
      <c r="F176" s="204"/>
      <c r="G176" s="228"/>
      <c r="H176" s="99">
        <v>115</v>
      </c>
      <c r="I176" s="46">
        <f>H176+C176</f>
        <v>148</v>
      </c>
      <c r="J176" s="204"/>
      <c r="K176" s="228"/>
      <c r="L176" s="99">
        <v>133</v>
      </c>
      <c r="M176" s="51">
        <f>L176+C176</f>
        <v>166</v>
      </c>
      <c r="N176" s="204"/>
      <c r="O176" s="228"/>
      <c r="P176" s="99">
        <v>164</v>
      </c>
      <c r="Q176" s="50">
        <f>P176+C176</f>
        <v>197</v>
      </c>
      <c r="R176" s="204"/>
      <c r="S176" s="228"/>
      <c r="T176" s="99">
        <v>127</v>
      </c>
      <c r="U176" s="50">
        <f>T176+C176</f>
        <v>160</v>
      </c>
      <c r="V176" s="204"/>
      <c r="W176" s="228"/>
      <c r="X176" s="47">
        <f t="shared" si="5"/>
        <v>848</v>
      </c>
      <c r="Y176" s="107">
        <f>D176+H176+L176+P176+T176</f>
        <v>683</v>
      </c>
      <c r="Z176" s="68">
        <f>AVERAGE(E176,I176,M176,Q176,U176)</f>
        <v>169.6</v>
      </c>
      <c r="AA176" s="144">
        <f>AVERAGE(E176,I176,M176,Q176,U176)-C176</f>
        <v>136.6</v>
      </c>
      <c r="AB176" s="221"/>
    </row>
    <row r="177" spans="1:28" s="38" customFormat="1" ht="47.25" customHeight="1">
      <c r="A177" s="217" t="s">
        <v>198</v>
      </c>
      <c r="B177" s="218"/>
      <c r="C177" s="158">
        <f>SUM(C178:C180)</f>
        <v>130</v>
      </c>
      <c r="D177" s="62">
        <f>SUM(D178:D180)</f>
        <v>397</v>
      </c>
      <c r="E177" s="45">
        <f>SUM(E178:E180)</f>
        <v>527</v>
      </c>
      <c r="F177" s="45">
        <f>E181</f>
        <v>609</v>
      </c>
      <c r="G177" s="42" t="str">
        <f>A181</f>
        <v>AKAT 1</v>
      </c>
      <c r="H177" s="62">
        <f>SUM(H178:H180)</f>
        <v>382</v>
      </c>
      <c r="I177" s="45">
        <f>SUM(I178:I180)</f>
        <v>512</v>
      </c>
      <c r="J177" s="45">
        <f>I189</f>
        <v>508</v>
      </c>
      <c r="K177" s="42" t="str">
        <f>A189</f>
        <v>RAKTOOM</v>
      </c>
      <c r="L177" s="133">
        <f>SUM(L178:L180)</f>
        <v>344</v>
      </c>
      <c r="M177" s="69">
        <f>SUM(M178:M180)</f>
        <v>474</v>
      </c>
      <c r="N177" s="45">
        <f>M173</f>
        <v>563</v>
      </c>
      <c r="O177" s="42" t="str">
        <f>A173</f>
        <v>ASSAR LUKUAUK</v>
      </c>
      <c r="P177" s="45">
        <f>SUM(P178:P180)</f>
        <v>378</v>
      </c>
      <c r="Q177" s="49">
        <f>SUM(Q178:Q180)</f>
        <v>508</v>
      </c>
      <c r="R177" s="45">
        <f>Q169</f>
        <v>535</v>
      </c>
      <c r="S177" s="42" t="str">
        <f>A169</f>
        <v>RT EHITUS</v>
      </c>
      <c r="T177" s="133">
        <f>SUM(T178:T180)</f>
        <v>447</v>
      </c>
      <c r="U177" s="69">
        <f>SUM(U178:U180)</f>
        <v>577</v>
      </c>
      <c r="V177" s="45">
        <f>U185</f>
        <v>505</v>
      </c>
      <c r="W177" s="42" t="str">
        <f>A185</f>
        <v>Vest-Wood 2</v>
      </c>
      <c r="X177" s="36">
        <f t="shared" si="5"/>
        <v>2598</v>
      </c>
      <c r="Y177" s="105">
        <f>SUM(Y178:Y180)</f>
        <v>1948</v>
      </c>
      <c r="Z177" s="65">
        <f>AVERAGE(Z178,Z179,Z180)</f>
        <v>173.20000000000002</v>
      </c>
      <c r="AA177" s="142">
        <f>AVERAGE(AA178,AA179,AA180)</f>
        <v>129.86666666666667</v>
      </c>
      <c r="AB177" s="219">
        <f>F178+J178+N178+R178+V178</f>
        <v>2</v>
      </c>
    </row>
    <row r="178" spans="1:28" s="38" customFormat="1" ht="15.75" customHeight="1">
      <c r="A178" s="222" t="s">
        <v>209</v>
      </c>
      <c r="B178" s="223"/>
      <c r="C178" s="159">
        <v>42</v>
      </c>
      <c r="D178" s="59">
        <v>153</v>
      </c>
      <c r="E178" s="50">
        <f>D178+C178</f>
        <v>195</v>
      </c>
      <c r="F178" s="224">
        <v>0</v>
      </c>
      <c r="G178" s="225"/>
      <c r="H178" s="97">
        <v>124</v>
      </c>
      <c r="I178" s="46">
        <f>H178+C178</f>
        <v>166</v>
      </c>
      <c r="J178" s="224">
        <v>1</v>
      </c>
      <c r="K178" s="225"/>
      <c r="L178" s="97">
        <v>125</v>
      </c>
      <c r="M178" s="50">
        <f>L178+C178</f>
        <v>167</v>
      </c>
      <c r="N178" s="224">
        <v>0</v>
      </c>
      <c r="O178" s="225"/>
      <c r="P178" s="97">
        <v>122</v>
      </c>
      <c r="Q178" s="50">
        <f>P178+C178</f>
        <v>164</v>
      </c>
      <c r="R178" s="224">
        <v>0</v>
      </c>
      <c r="S178" s="225"/>
      <c r="T178" s="97">
        <v>193</v>
      </c>
      <c r="U178" s="50">
        <f>T178+C178</f>
        <v>235</v>
      </c>
      <c r="V178" s="224">
        <v>1</v>
      </c>
      <c r="W178" s="225"/>
      <c r="X178" s="46">
        <f t="shared" si="5"/>
        <v>927</v>
      </c>
      <c r="Y178" s="106">
        <f>D178+H178+L178+P178+T178</f>
        <v>717</v>
      </c>
      <c r="Z178" s="67">
        <f>AVERAGE(E178,I178,M178,Q178,U178)</f>
        <v>185.4</v>
      </c>
      <c r="AA178" s="143">
        <f>AVERAGE(E178,I178,M178,Q178,U178)-C178</f>
        <v>143.4</v>
      </c>
      <c r="AB178" s="220"/>
    </row>
    <row r="179" spans="1:28" s="38" customFormat="1" ht="15.75" customHeight="1">
      <c r="A179" s="222" t="s">
        <v>210</v>
      </c>
      <c r="B179" s="223"/>
      <c r="C179" s="159">
        <v>48</v>
      </c>
      <c r="D179" s="59">
        <v>96</v>
      </c>
      <c r="E179" s="50">
        <f>D179+C179</f>
        <v>144</v>
      </c>
      <c r="F179" s="226"/>
      <c r="G179" s="227"/>
      <c r="H179" s="98">
        <v>137</v>
      </c>
      <c r="I179" s="46">
        <f>H179+C179</f>
        <v>185</v>
      </c>
      <c r="J179" s="226"/>
      <c r="K179" s="227"/>
      <c r="L179" s="98">
        <v>105</v>
      </c>
      <c r="M179" s="50">
        <f>L179+C179</f>
        <v>153</v>
      </c>
      <c r="N179" s="226"/>
      <c r="O179" s="227"/>
      <c r="P179" s="98">
        <v>108</v>
      </c>
      <c r="Q179" s="50">
        <f>P179+C179</f>
        <v>156</v>
      </c>
      <c r="R179" s="226"/>
      <c r="S179" s="227"/>
      <c r="T179" s="98">
        <v>111</v>
      </c>
      <c r="U179" s="50">
        <f>T179+C179</f>
        <v>159</v>
      </c>
      <c r="V179" s="226"/>
      <c r="W179" s="227"/>
      <c r="X179" s="46">
        <f t="shared" si="5"/>
        <v>797</v>
      </c>
      <c r="Y179" s="106">
        <f>D179+H179+L179+P179+T179</f>
        <v>557</v>
      </c>
      <c r="Z179" s="67">
        <f>AVERAGE(E179,I179,M179,Q179,U179)</f>
        <v>159.4</v>
      </c>
      <c r="AA179" s="143">
        <f>AVERAGE(E179,I179,M179,Q179,U179)-C179</f>
        <v>111.4</v>
      </c>
      <c r="AB179" s="220"/>
    </row>
    <row r="180" spans="1:28" s="38" customFormat="1" ht="15.75" customHeight="1" thickBot="1">
      <c r="A180" s="229" t="s">
        <v>211</v>
      </c>
      <c r="B180" s="230"/>
      <c r="C180" s="160">
        <v>40</v>
      </c>
      <c r="D180" s="60">
        <v>148</v>
      </c>
      <c r="E180" s="50">
        <f>D180+C180</f>
        <v>188</v>
      </c>
      <c r="F180" s="204"/>
      <c r="G180" s="228"/>
      <c r="H180" s="99">
        <v>121</v>
      </c>
      <c r="I180" s="46">
        <f>H180+C180</f>
        <v>161</v>
      </c>
      <c r="J180" s="204"/>
      <c r="K180" s="228"/>
      <c r="L180" s="99">
        <v>114</v>
      </c>
      <c r="M180" s="51">
        <f>L180+C180</f>
        <v>154</v>
      </c>
      <c r="N180" s="204"/>
      <c r="O180" s="228"/>
      <c r="P180" s="99">
        <v>148</v>
      </c>
      <c r="Q180" s="50">
        <f>P180+C180</f>
        <v>188</v>
      </c>
      <c r="R180" s="204"/>
      <c r="S180" s="228"/>
      <c r="T180" s="99">
        <v>143</v>
      </c>
      <c r="U180" s="50">
        <f>T180+C180</f>
        <v>183</v>
      </c>
      <c r="V180" s="204"/>
      <c r="W180" s="228"/>
      <c r="X180" s="47">
        <f t="shared" si="5"/>
        <v>874</v>
      </c>
      <c r="Y180" s="107">
        <f>D180+H180+L180+P180+T180</f>
        <v>674</v>
      </c>
      <c r="Z180" s="68">
        <f>AVERAGE(E180,I180,M180,Q180,U180)</f>
        <v>174.8</v>
      </c>
      <c r="AA180" s="144">
        <f>AVERAGE(E180,I180,M180,Q180,U180)-C180</f>
        <v>134.8</v>
      </c>
      <c r="AB180" s="221"/>
    </row>
    <row r="181" spans="1:28" s="38" customFormat="1" ht="39" customHeight="1">
      <c r="A181" s="217" t="s">
        <v>233</v>
      </c>
      <c r="B181" s="218"/>
      <c r="C181" s="158">
        <f>SUM(C182:C184)</f>
        <v>130</v>
      </c>
      <c r="D181" s="62">
        <f>SUM(D182:D184)</f>
        <v>479</v>
      </c>
      <c r="E181" s="45">
        <f>SUM(E182:E184)</f>
        <v>609</v>
      </c>
      <c r="F181" s="45">
        <f>E177</f>
        <v>527</v>
      </c>
      <c r="G181" s="42" t="str">
        <f>A177</f>
        <v>MP AUTO</v>
      </c>
      <c r="H181" s="62">
        <f>SUM(H182:H184)</f>
        <v>475</v>
      </c>
      <c r="I181" s="45">
        <f>SUM(I182:I184)</f>
        <v>605</v>
      </c>
      <c r="J181" s="45">
        <f>I173</f>
        <v>509</v>
      </c>
      <c r="K181" s="42" t="str">
        <f>A173</f>
        <v>ASSAR LUKUAUK</v>
      </c>
      <c r="L181" s="133">
        <f>SUM(L182:L184)</f>
        <v>369</v>
      </c>
      <c r="M181" s="49">
        <f>SUM(M182:M184)</f>
        <v>499</v>
      </c>
      <c r="N181" s="45">
        <f>M169</f>
        <v>552</v>
      </c>
      <c r="O181" s="42" t="str">
        <f>A169</f>
        <v>RT EHITUS</v>
      </c>
      <c r="P181" s="45">
        <f>SUM(P182:P184)</f>
        <v>422</v>
      </c>
      <c r="Q181" s="49">
        <f>SUM(Q182:Q184)</f>
        <v>552</v>
      </c>
      <c r="R181" s="45">
        <f>Q185</f>
        <v>605</v>
      </c>
      <c r="S181" s="42" t="str">
        <f>A185</f>
        <v>Vest-Wood 2</v>
      </c>
      <c r="T181" s="133">
        <f>SUM(T182:T184)</f>
        <v>444</v>
      </c>
      <c r="U181" s="49">
        <f>SUM(U182:U184)</f>
        <v>574</v>
      </c>
      <c r="V181" s="45">
        <f>U189</f>
        <v>542</v>
      </c>
      <c r="W181" s="42" t="str">
        <f>A189</f>
        <v>RAKTOOM</v>
      </c>
      <c r="X181" s="36">
        <f t="shared" si="5"/>
        <v>2839</v>
      </c>
      <c r="Y181" s="105">
        <f>SUM(Y182:Y184)</f>
        <v>2189</v>
      </c>
      <c r="Z181" s="65">
        <f>AVERAGE(Z182,Z183,Z184)</f>
        <v>189.26666666666668</v>
      </c>
      <c r="AA181" s="142">
        <f>AVERAGE(AA182,AA183,AA184)</f>
        <v>145.93333333333337</v>
      </c>
      <c r="AB181" s="219">
        <f>F182+J182+N182+R182+V182</f>
        <v>3</v>
      </c>
    </row>
    <row r="182" spans="1:28" s="38" customFormat="1" ht="15.75" customHeight="1">
      <c r="A182" s="222" t="s">
        <v>234</v>
      </c>
      <c r="B182" s="223"/>
      <c r="C182" s="159">
        <v>30</v>
      </c>
      <c r="D182" s="59">
        <v>181</v>
      </c>
      <c r="E182" s="50">
        <f>D182+C182</f>
        <v>211</v>
      </c>
      <c r="F182" s="224">
        <v>1</v>
      </c>
      <c r="G182" s="225"/>
      <c r="H182" s="97">
        <v>163</v>
      </c>
      <c r="I182" s="46">
        <f>H182+C182</f>
        <v>193</v>
      </c>
      <c r="J182" s="224">
        <v>1</v>
      </c>
      <c r="K182" s="225"/>
      <c r="L182" s="97">
        <v>145</v>
      </c>
      <c r="M182" s="50">
        <f>L182+C182</f>
        <v>175</v>
      </c>
      <c r="N182" s="224">
        <v>0</v>
      </c>
      <c r="O182" s="225"/>
      <c r="P182" s="97">
        <v>167</v>
      </c>
      <c r="Q182" s="50">
        <f>P182+C182</f>
        <v>197</v>
      </c>
      <c r="R182" s="224">
        <v>0</v>
      </c>
      <c r="S182" s="225"/>
      <c r="T182" s="97">
        <v>148</v>
      </c>
      <c r="U182" s="50">
        <f>T182+C182</f>
        <v>178</v>
      </c>
      <c r="V182" s="224">
        <v>1</v>
      </c>
      <c r="W182" s="225"/>
      <c r="X182" s="46">
        <f t="shared" si="5"/>
        <v>954</v>
      </c>
      <c r="Y182" s="106">
        <f>D182+H182+L182+P182+T182</f>
        <v>804</v>
      </c>
      <c r="Z182" s="67">
        <f>AVERAGE(E182,I182,M182,Q182,U182)</f>
        <v>190.8</v>
      </c>
      <c r="AA182" s="143">
        <f>AVERAGE(E182,I182,M182,Q182,U182)-C182</f>
        <v>160.8</v>
      </c>
      <c r="AB182" s="220"/>
    </row>
    <row r="183" spans="1:28" s="38" customFormat="1" ht="15.75" customHeight="1">
      <c r="A183" s="222" t="s">
        <v>235</v>
      </c>
      <c r="B183" s="223"/>
      <c r="C183" s="159">
        <v>40</v>
      </c>
      <c r="D183" s="59">
        <v>134</v>
      </c>
      <c r="E183" s="50">
        <f>D183+C183</f>
        <v>174</v>
      </c>
      <c r="F183" s="226"/>
      <c r="G183" s="227"/>
      <c r="H183" s="98">
        <v>123</v>
      </c>
      <c r="I183" s="46">
        <f>H183+C183</f>
        <v>163</v>
      </c>
      <c r="J183" s="226"/>
      <c r="K183" s="227"/>
      <c r="L183" s="98">
        <v>96</v>
      </c>
      <c r="M183" s="50">
        <f>L183+C183</f>
        <v>136</v>
      </c>
      <c r="N183" s="226"/>
      <c r="O183" s="227"/>
      <c r="P183" s="98">
        <v>93</v>
      </c>
      <c r="Q183" s="50">
        <f>P183+C183</f>
        <v>133</v>
      </c>
      <c r="R183" s="226"/>
      <c r="S183" s="227"/>
      <c r="T183" s="98">
        <v>126</v>
      </c>
      <c r="U183" s="50">
        <f>T183+C183</f>
        <v>166</v>
      </c>
      <c r="V183" s="226"/>
      <c r="W183" s="227"/>
      <c r="X183" s="46">
        <f t="shared" si="5"/>
        <v>772</v>
      </c>
      <c r="Y183" s="106">
        <f>D183+H183+L183+P183+T183</f>
        <v>572</v>
      </c>
      <c r="Z183" s="67">
        <f>AVERAGE(E183,I183,M183,Q183,U183)</f>
        <v>154.4</v>
      </c>
      <c r="AA183" s="143">
        <f>AVERAGE(E183,I183,M183,Q183,U183)-C183</f>
        <v>114.4</v>
      </c>
      <c r="AB183" s="220"/>
    </row>
    <row r="184" spans="1:29" s="38" customFormat="1" ht="15.75" customHeight="1" thickBot="1">
      <c r="A184" s="229" t="s">
        <v>297</v>
      </c>
      <c r="B184" s="230"/>
      <c r="C184" s="160">
        <v>60</v>
      </c>
      <c r="D184" s="60">
        <v>164</v>
      </c>
      <c r="E184" s="50">
        <f>D184+C184</f>
        <v>224</v>
      </c>
      <c r="F184" s="204"/>
      <c r="G184" s="228"/>
      <c r="H184" s="99">
        <v>189</v>
      </c>
      <c r="I184" s="46">
        <f>H184+C184</f>
        <v>249</v>
      </c>
      <c r="J184" s="204"/>
      <c r="K184" s="228"/>
      <c r="L184" s="99">
        <v>128</v>
      </c>
      <c r="M184" s="51">
        <f>L184+C184</f>
        <v>188</v>
      </c>
      <c r="N184" s="204"/>
      <c r="O184" s="228"/>
      <c r="P184" s="99">
        <v>162</v>
      </c>
      <c r="Q184" s="50">
        <f>P184+C184</f>
        <v>222</v>
      </c>
      <c r="R184" s="204"/>
      <c r="S184" s="228"/>
      <c r="T184" s="99">
        <v>170</v>
      </c>
      <c r="U184" s="50">
        <f>T184+C184</f>
        <v>230</v>
      </c>
      <c r="V184" s="204"/>
      <c r="W184" s="228"/>
      <c r="X184" s="47">
        <f t="shared" si="5"/>
        <v>1113</v>
      </c>
      <c r="Y184" s="107">
        <f>D184+H184+L184+P184+T184</f>
        <v>813</v>
      </c>
      <c r="Z184" s="68">
        <f>AVERAGE(E184,I184,M184,Q184,U184)</f>
        <v>222.6</v>
      </c>
      <c r="AA184" s="144">
        <f>AVERAGE(E184,I184,M184,Q184,U184)-C184</f>
        <v>162.6</v>
      </c>
      <c r="AB184" s="221"/>
      <c r="AC184" s="44"/>
    </row>
    <row r="185" spans="1:28" s="38" customFormat="1" ht="40.5" customHeight="1">
      <c r="A185" s="217" t="s">
        <v>67</v>
      </c>
      <c r="B185" s="218"/>
      <c r="C185" s="158">
        <f>SUM(C186:C188)</f>
        <v>138</v>
      </c>
      <c r="D185" s="62">
        <f>SUM(D186:D188)</f>
        <v>437</v>
      </c>
      <c r="E185" s="45">
        <f>SUM(E186:E188)</f>
        <v>575</v>
      </c>
      <c r="F185" s="45">
        <f>E173</f>
        <v>553</v>
      </c>
      <c r="G185" s="42" t="str">
        <f>A173</f>
        <v>ASSAR LUKUAUK</v>
      </c>
      <c r="H185" s="62">
        <f>SUM(H186:H188)</f>
        <v>327</v>
      </c>
      <c r="I185" s="45">
        <f>SUM(I186:I188)</f>
        <v>465</v>
      </c>
      <c r="J185" s="45">
        <f>I169</f>
        <v>458</v>
      </c>
      <c r="K185" s="42" t="str">
        <f>A169</f>
        <v>RT EHITUS</v>
      </c>
      <c r="L185" s="133">
        <f>SUM(L186:L188)</f>
        <v>381</v>
      </c>
      <c r="M185" s="69">
        <f>SUM(M186:M188)</f>
        <v>519</v>
      </c>
      <c r="N185" s="45">
        <f>M189</f>
        <v>510</v>
      </c>
      <c r="O185" s="42" t="str">
        <f>A189</f>
        <v>RAKTOOM</v>
      </c>
      <c r="P185" s="45">
        <f>SUM(P186:P188)</f>
        <v>467</v>
      </c>
      <c r="Q185" s="69">
        <f>SUM(Q186:Q188)</f>
        <v>605</v>
      </c>
      <c r="R185" s="45">
        <f>Q181</f>
        <v>552</v>
      </c>
      <c r="S185" s="42" t="str">
        <f>A181</f>
        <v>AKAT 1</v>
      </c>
      <c r="T185" s="133">
        <f>SUM(T186:T188)</f>
        <v>367</v>
      </c>
      <c r="U185" s="69">
        <f>SUM(U186:U188)</f>
        <v>505</v>
      </c>
      <c r="V185" s="45">
        <f>U177</f>
        <v>577</v>
      </c>
      <c r="W185" s="42" t="str">
        <f>A177</f>
        <v>MP AUTO</v>
      </c>
      <c r="X185" s="36">
        <f t="shared" si="5"/>
        <v>2669</v>
      </c>
      <c r="Y185" s="105">
        <f>SUM(Y186:Y188)</f>
        <v>1979</v>
      </c>
      <c r="Z185" s="65">
        <f>AVERAGE(Z186,Z187,Z188)</f>
        <v>177.9333333333333</v>
      </c>
      <c r="AA185" s="142">
        <f>AVERAGE(AA186,AA187,AA188)</f>
        <v>131.9333333333333</v>
      </c>
      <c r="AB185" s="219">
        <f>F186+J186+N186+R186+V186</f>
        <v>4</v>
      </c>
    </row>
    <row r="186" spans="1:28" s="38" customFormat="1" ht="15.75" customHeight="1">
      <c r="A186" s="222" t="s">
        <v>44</v>
      </c>
      <c r="B186" s="223"/>
      <c r="C186" s="159">
        <v>53</v>
      </c>
      <c r="D186" s="59">
        <v>153</v>
      </c>
      <c r="E186" s="50">
        <f>D186+C186</f>
        <v>206</v>
      </c>
      <c r="F186" s="224">
        <v>1</v>
      </c>
      <c r="G186" s="225"/>
      <c r="H186" s="97">
        <v>110</v>
      </c>
      <c r="I186" s="46">
        <f>H186+C186</f>
        <v>163</v>
      </c>
      <c r="J186" s="224">
        <v>1</v>
      </c>
      <c r="K186" s="225"/>
      <c r="L186" s="97">
        <v>135</v>
      </c>
      <c r="M186" s="50">
        <f>L186+C186</f>
        <v>188</v>
      </c>
      <c r="N186" s="224">
        <v>1</v>
      </c>
      <c r="O186" s="225"/>
      <c r="P186" s="97">
        <v>152</v>
      </c>
      <c r="Q186" s="50">
        <f>P186+C186</f>
        <v>205</v>
      </c>
      <c r="R186" s="224">
        <v>1</v>
      </c>
      <c r="S186" s="225"/>
      <c r="T186" s="97">
        <v>135</v>
      </c>
      <c r="U186" s="50">
        <f>T186+C186</f>
        <v>188</v>
      </c>
      <c r="V186" s="224">
        <v>0</v>
      </c>
      <c r="W186" s="225"/>
      <c r="X186" s="46">
        <f t="shared" si="5"/>
        <v>950</v>
      </c>
      <c r="Y186" s="106">
        <f>D186+H186+L186+P186+T186</f>
        <v>685</v>
      </c>
      <c r="Z186" s="67">
        <f>AVERAGE(E186,I186,M186,Q186,U186)</f>
        <v>190</v>
      </c>
      <c r="AA186" s="143">
        <f>AVERAGE(E186,I186,M186,Q186,U186)-C186</f>
        <v>137</v>
      </c>
      <c r="AB186" s="220"/>
    </row>
    <row r="187" spans="1:28" s="38" customFormat="1" ht="15.75" customHeight="1">
      <c r="A187" s="222" t="s">
        <v>45</v>
      </c>
      <c r="B187" s="223"/>
      <c r="C187" s="159">
        <v>60</v>
      </c>
      <c r="D187" s="59">
        <v>115</v>
      </c>
      <c r="E187" s="50">
        <f>D187+C187</f>
        <v>175</v>
      </c>
      <c r="F187" s="226"/>
      <c r="G187" s="227"/>
      <c r="H187" s="98">
        <v>74</v>
      </c>
      <c r="I187" s="46">
        <f>H187+C187</f>
        <v>134</v>
      </c>
      <c r="J187" s="226"/>
      <c r="K187" s="227"/>
      <c r="L187" s="98">
        <v>90</v>
      </c>
      <c r="M187" s="50">
        <f>L187+C187</f>
        <v>150</v>
      </c>
      <c r="N187" s="226"/>
      <c r="O187" s="227"/>
      <c r="P187" s="98">
        <v>113</v>
      </c>
      <c r="Q187" s="50">
        <f>P187+C187</f>
        <v>173</v>
      </c>
      <c r="R187" s="226"/>
      <c r="S187" s="227"/>
      <c r="T187" s="98">
        <v>104</v>
      </c>
      <c r="U187" s="50">
        <f>T187+C187</f>
        <v>164</v>
      </c>
      <c r="V187" s="226"/>
      <c r="W187" s="227"/>
      <c r="X187" s="46">
        <f t="shared" si="5"/>
        <v>796</v>
      </c>
      <c r="Y187" s="106">
        <f>D187+H187+L187+P187+T187</f>
        <v>496</v>
      </c>
      <c r="Z187" s="67">
        <f>AVERAGE(E187,I187,M187,Q187,U187)</f>
        <v>159.2</v>
      </c>
      <c r="AA187" s="143">
        <f>AVERAGE(E187,I187,M187,Q187,U187)-C187</f>
        <v>99.19999999999999</v>
      </c>
      <c r="AB187" s="220"/>
    </row>
    <row r="188" spans="1:28" s="38" customFormat="1" ht="15.75" customHeight="1" thickBot="1">
      <c r="A188" s="229" t="s">
        <v>46</v>
      </c>
      <c r="B188" s="230"/>
      <c r="C188" s="160">
        <v>25</v>
      </c>
      <c r="D188" s="60">
        <v>169</v>
      </c>
      <c r="E188" s="50">
        <f>D188+C188</f>
        <v>194</v>
      </c>
      <c r="F188" s="204"/>
      <c r="G188" s="228"/>
      <c r="H188" s="99">
        <v>143</v>
      </c>
      <c r="I188" s="46">
        <f>H188+C188</f>
        <v>168</v>
      </c>
      <c r="J188" s="204"/>
      <c r="K188" s="228"/>
      <c r="L188" s="99">
        <v>156</v>
      </c>
      <c r="M188" s="51">
        <f>L188+C188</f>
        <v>181</v>
      </c>
      <c r="N188" s="204"/>
      <c r="O188" s="228"/>
      <c r="P188" s="99">
        <v>202</v>
      </c>
      <c r="Q188" s="50">
        <f>P188+C188</f>
        <v>227</v>
      </c>
      <c r="R188" s="204"/>
      <c r="S188" s="228"/>
      <c r="T188" s="99">
        <v>128</v>
      </c>
      <c r="U188" s="50">
        <f>T188+C188</f>
        <v>153</v>
      </c>
      <c r="V188" s="204"/>
      <c r="W188" s="228"/>
      <c r="X188" s="47">
        <f t="shared" si="5"/>
        <v>923</v>
      </c>
      <c r="Y188" s="107">
        <f>D188+H188+L188+P188+T188</f>
        <v>798</v>
      </c>
      <c r="Z188" s="68">
        <f>AVERAGE(E188,I188,M188,Q188,U188)</f>
        <v>184.6</v>
      </c>
      <c r="AA188" s="144">
        <f>AVERAGE(E188,I188,M188,Q188,U188)-C188</f>
        <v>159.6</v>
      </c>
      <c r="AB188" s="221"/>
    </row>
    <row r="189" spans="1:28" s="38" customFormat="1" ht="42" customHeight="1">
      <c r="A189" s="217" t="s">
        <v>108</v>
      </c>
      <c r="B189" s="218"/>
      <c r="C189" s="158">
        <f>SUM(C190:C192)</f>
        <v>146</v>
      </c>
      <c r="D189" s="62">
        <f>SUM(D190:D192)</f>
        <v>408</v>
      </c>
      <c r="E189" s="45">
        <f>SUM(E190:E192)</f>
        <v>554</v>
      </c>
      <c r="F189" s="45">
        <f>E169</f>
        <v>514</v>
      </c>
      <c r="G189" s="42" t="str">
        <f>A169</f>
        <v>RT EHITUS</v>
      </c>
      <c r="H189" s="62">
        <f>SUM(H190:H192)</f>
        <v>362</v>
      </c>
      <c r="I189" s="45">
        <f>SUM(I190:I192)</f>
        <v>508</v>
      </c>
      <c r="J189" s="45">
        <f>I177</f>
        <v>512</v>
      </c>
      <c r="K189" s="42" t="str">
        <f>A177</f>
        <v>MP AUTO</v>
      </c>
      <c r="L189" s="133">
        <f>SUM(L190:L192)</f>
        <v>364</v>
      </c>
      <c r="M189" s="49">
        <f>SUM(M190:M192)</f>
        <v>510</v>
      </c>
      <c r="N189" s="45">
        <f>M185</f>
        <v>519</v>
      </c>
      <c r="O189" s="42" t="str">
        <f>A185</f>
        <v>Vest-Wood 2</v>
      </c>
      <c r="P189" s="45">
        <f>SUM(P190:P192)</f>
        <v>390</v>
      </c>
      <c r="Q189" s="49">
        <f>SUM(Q190:Q192)</f>
        <v>536</v>
      </c>
      <c r="R189" s="45">
        <f>Q173</f>
        <v>535</v>
      </c>
      <c r="S189" s="42" t="str">
        <f>A173</f>
        <v>ASSAR LUKUAUK</v>
      </c>
      <c r="T189" s="133">
        <f>SUM(T190:T192)</f>
        <v>396</v>
      </c>
      <c r="U189" s="49">
        <f>SUM(U190:U192)</f>
        <v>542</v>
      </c>
      <c r="V189" s="45">
        <f>U181</f>
        <v>574</v>
      </c>
      <c r="W189" s="42" t="str">
        <f>A181</f>
        <v>AKAT 1</v>
      </c>
      <c r="X189" s="36">
        <f t="shared" si="5"/>
        <v>2650</v>
      </c>
      <c r="Y189" s="105">
        <f>SUM(Y190:Y192)</f>
        <v>1920</v>
      </c>
      <c r="Z189" s="65">
        <f>AVERAGE(Z190,Z191,Z192)</f>
        <v>176.66666666666666</v>
      </c>
      <c r="AA189" s="142">
        <f>AVERAGE(AA190,AA191,AA192)</f>
        <v>128</v>
      </c>
      <c r="AB189" s="219">
        <f>F190+J190+N190+R190+V190</f>
        <v>2</v>
      </c>
    </row>
    <row r="190" spans="1:28" s="38" customFormat="1" ht="15.75" customHeight="1">
      <c r="A190" s="222" t="s">
        <v>283</v>
      </c>
      <c r="B190" s="223"/>
      <c r="C190" s="159">
        <v>51</v>
      </c>
      <c r="D190" s="59">
        <v>119</v>
      </c>
      <c r="E190" s="50">
        <f>D190+C190</f>
        <v>170</v>
      </c>
      <c r="F190" s="224">
        <v>1</v>
      </c>
      <c r="G190" s="225"/>
      <c r="H190" s="97">
        <v>83</v>
      </c>
      <c r="I190" s="46">
        <f>H190+C190</f>
        <v>134</v>
      </c>
      <c r="J190" s="224">
        <v>0</v>
      </c>
      <c r="K190" s="225"/>
      <c r="L190" s="97">
        <v>126</v>
      </c>
      <c r="M190" s="50">
        <f>L190+C190</f>
        <v>177</v>
      </c>
      <c r="N190" s="224">
        <v>0</v>
      </c>
      <c r="O190" s="225"/>
      <c r="P190" s="97">
        <v>171</v>
      </c>
      <c r="Q190" s="50">
        <f>P190+C190</f>
        <v>222</v>
      </c>
      <c r="R190" s="224">
        <v>1</v>
      </c>
      <c r="S190" s="225"/>
      <c r="T190" s="97">
        <v>142</v>
      </c>
      <c r="U190" s="50">
        <f>T190+C190</f>
        <v>193</v>
      </c>
      <c r="V190" s="224">
        <v>0</v>
      </c>
      <c r="W190" s="225"/>
      <c r="X190" s="46">
        <f t="shared" si="5"/>
        <v>896</v>
      </c>
      <c r="Y190" s="106">
        <f>D190+H190+L190+P190+T190</f>
        <v>641</v>
      </c>
      <c r="Z190" s="67">
        <f>AVERAGE(E190,I190,M190,Q190,U190)</f>
        <v>179.2</v>
      </c>
      <c r="AA190" s="143">
        <f>AVERAGE(E190,I190,M190,Q190,U190)-C190</f>
        <v>128.2</v>
      </c>
      <c r="AB190" s="220"/>
    </row>
    <row r="191" spans="1:28" s="38" customFormat="1" ht="15.75" customHeight="1">
      <c r="A191" s="222" t="s">
        <v>284</v>
      </c>
      <c r="B191" s="223"/>
      <c r="C191" s="159">
        <v>47</v>
      </c>
      <c r="D191" s="59">
        <v>139</v>
      </c>
      <c r="E191" s="50">
        <f>D191+C191</f>
        <v>186</v>
      </c>
      <c r="F191" s="226"/>
      <c r="G191" s="227"/>
      <c r="H191" s="98">
        <v>123</v>
      </c>
      <c r="I191" s="46">
        <f>H191+C191</f>
        <v>170</v>
      </c>
      <c r="J191" s="226"/>
      <c r="K191" s="227"/>
      <c r="L191" s="98">
        <v>105</v>
      </c>
      <c r="M191" s="50">
        <f>L191+C191</f>
        <v>152</v>
      </c>
      <c r="N191" s="226"/>
      <c r="O191" s="227"/>
      <c r="P191" s="98">
        <v>101</v>
      </c>
      <c r="Q191" s="50">
        <f>P191+C191</f>
        <v>148</v>
      </c>
      <c r="R191" s="226"/>
      <c r="S191" s="227"/>
      <c r="T191" s="98">
        <v>129</v>
      </c>
      <c r="U191" s="50">
        <f>T191+C191</f>
        <v>176</v>
      </c>
      <c r="V191" s="226"/>
      <c r="W191" s="227"/>
      <c r="X191" s="46">
        <f t="shared" si="5"/>
        <v>832</v>
      </c>
      <c r="Y191" s="106">
        <f>D191+H191+L191+P191+T191</f>
        <v>597</v>
      </c>
      <c r="Z191" s="67">
        <f>AVERAGE(E191,I191,M191,Q191,U191)</f>
        <v>166.4</v>
      </c>
      <c r="AA191" s="143">
        <f>AVERAGE(E191,I191,M191,Q191,U191)-C191</f>
        <v>119.4</v>
      </c>
      <c r="AB191" s="220"/>
    </row>
    <row r="192" spans="1:28" s="38" customFormat="1" ht="15.75" customHeight="1" thickBot="1">
      <c r="A192" s="229" t="s">
        <v>118</v>
      </c>
      <c r="B192" s="230"/>
      <c r="C192" s="160">
        <v>48</v>
      </c>
      <c r="D192" s="60">
        <v>150</v>
      </c>
      <c r="E192" s="50">
        <f>D192+C192</f>
        <v>198</v>
      </c>
      <c r="F192" s="204"/>
      <c r="G192" s="228"/>
      <c r="H192" s="99">
        <v>156</v>
      </c>
      <c r="I192" s="46">
        <f>H192+C192</f>
        <v>204</v>
      </c>
      <c r="J192" s="204"/>
      <c r="K192" s="228"/>
      <c r="L192" s="99">
        <v>133</v>
      </c>
      <c r="M192" s="51">
        <f>L192+C192</f>
        <v>181</v>
      </c>
      <c r="N192" s="204"/>
      <c r="O192" s="228"/>
      <c r="P192" s="99">
        <v>118</v>
      </c>
      <c r="Q192" s="50">
        <f>P192+C192</f>
        <v>166</v>
      </c>
      <c r="R192" s="204"/>
      <c r="S192" s="228"/>
      <c r="T192" s="99">
        <v>125</v>
      </c>
      <c r="U192" s="50">
        <f>T192+C192</f>
        <v>173</v>
      </c>
      <c r="V192" s="204"/>
      <c r="W192" s="228"/>
      <c r="X192" s="47">
        <f t="shared" si="5"/>
        <v>922</v>
      </c>
      <c r="Y192" s="107">
        <f>D192+H192+L192+P192+T192</f>
        <v>682</v>
      </c>
      <c r="Z192" s="68">
        <f>AVERAGE(E192,I192,M192,Q192,U192)</f>
        <v>184.4</v>
      </c>
      <c r="AA192" s="144">
        <f>AVERAGE(E192,I192,M192,Q192,U192)-C192</f>
        <v>136.4</v>
      </c>
      <c r="AB192" s="221"/>
    </row>
    <row r="195" spans="1:28" s="40" customFormat="1" ht="9" customHeight="1">
      <c r="A195" s="207" t="s">
        <v>294</v>
      </c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4"/>
      <c r="W195" s="25"/>
      <c r="Y195" s="57"/>
      <c r="Z195" s="41"/>
      <c r="AA195" s="139"/>
      <c r="AB195" s="25"/>
    </row>
    <row r="196" spans="1:28" s="40" customFormat="1" ht="6" customHeight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4"/>
      <c r="W196" s="25"/>
      <c r="Y196" s="57"/>
      <c r="Z196" s="41"/>
      <c r="AA196" s="139"/>
      <c r="AB196" s="25"/>
    </row>
    <row r="197" spans="1:28" s="40" customFormat="1" ht="23.25" customHeight="1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5"/>
      <c r="W197" s="25"/>
      <c r="Y197" s="57"/>
      <c r="Z197" s="41"/>
      <c r="AA197" s="139"/>
      <c r="AB197" s="25"/>
    </row>
    <row r="198" spans="1:28" s="31" customFormat="1" ht="15.75" customHeight="1">
      <c r="A198" s="209" t="s">
        <v>0</v>
      </c>
      <c r="B198" s="210"/>
      <c r="C198" s="156" t="s">
        <v>39</v>
      </c>
      <c r="D198" s="55"/>
      <c r="E198" s="27" t="s">
        <v>1</v>
      </c>
      <c r="F198" s="211" t="s">
        <v>2</v>
      </c>
      <c r="G198" s="212"/>
      <c r="H198" s="94"/>
      <c r="I198" s="27" t="s">
        <v>3</v>
      </c>
      <c r="J198" s="211" t="s">
        <v>2</v>
      </c>
      <c r="K198" s="212"/>
      <c r="L198" s="94"/>
      <c r="M198" s="27" t="s">
        <v>4</v>
      </c>
      <c r="N198" s="211" t="s">
        <v>2</v>
      </c>
      <c r="O198" s="212"/>
      <c r="P198" s="94"/>
      <c r="Q198" s="27" t="s">
        <v>5</v>
      </c>
      <c r="R198" s="211" t="s">
        <v>2</v>
      </c>
      <c r="S198" s="212"/>
      <c r="T198" s="94"/>
      <c r="U198" s="27" t="s">
        <v>6</v>
      </c>
      <c r="V198" s="211" t="s">
        <v>2</v>
      </c>
      <c r="W198" s="212"/>
      <c r="X198" s="28" t="s">
        <v>7</v>
      </c>
      <c r="Y198" s="104"/>
      <c r="Z198" s="29" t="s">
        <v>40</v>
      </c>
      <c r="AA198" s="140" t="s">
        <v>42</v>
      </c>
      <c r="AB198" s="30" t="s">
        <v>7</v>
      </c>
    </row>
    <row r="199" spans="1:28" s="31" customFormat="1" ht="15.75" customHeight="1" thickBot="1">
      <c r="A199" s="213" t="s">
        <v>9</v>
      </c>
      <c r="B199" s="214"/>
      <c r="C199" s="157"/>
      <c r="D199" s="56"/>
      <c r="E199" s="32" t="s">
        <v>10</v>
      </c>
      <c r="F199" s="211" t="s">
        <v>11</v>
      </c>
      <c r="G199" s="212"/>
      <c r="H199" s="95"/>
      <c r="I199" s="32" t="s">
        <v>10</v>
      </c>
      <c r="J199" s="215" t="s">
        <v>11</v>
      </c>
      <c r="K199" s="216"/>
      <c r="L199" s="95"/>
      <c r="M199" s="32" t="s">
        <v>10</v>
      </c>
      <c r="N199" s="215" t="s">
        <v>11</v>
      </c>
      <c r="O199" s="216"/>
      <c r="P199" s="95"/>
      <c r="Q199" s="32" t="s">
        <v>10</v>
      </c>
      <c r="R199" s="215" t="s">
        <v>11</v>
      </c>
      <c r="S199" s="216"/>
      <c r="T199" s="95"/>
      <c r="U199" s="32" t="s">
        <v>10</v>
      </c>
      <c r="V199" s="215" t="s">
        <v>11</v>
      </c>
      <c r="W199" s="216"/>
      <c r="X199" s="33" t="s">
        <v>10</v>
      </c>
      <c r="Y199" s="134" t="s">
        <v>287</v>
      </c>
      <c r="Z199" s="34" t="s">
        <v>41</v>
      </c>
      <c r="AA199" s="141" t="s">
        <v>43</v>
      </c>
      <c r="AB199" s="35" t="s">
        <v>12</v>
      </c>
    </row>
    <row r="200" spans="1:28" s="38" customFormat="1" ht="42" customHeight="1">
      <c r="A200" s="217" t="s">
        <v>164</v>
      </c>
      <c r="B200" s="218"/>
      <c r="C200" s="158">
        <f>SUM(C201:C203)</f>
        <v>137</v>
      </c>
      <c r="D200" s="62">
        <f>SUM(D201:D203)</f>
        <v>392</v>
      </c>
      <c r="E200" s="63">
        <f>SUM(E201:E203)</f>
        <v>529</v>
      </c>
      <c r="F200" s="46">
        <f>E220</f>
        <v>498</v>
      </c>
      <c r="G200" s="64" t="str">
        <f>A220</f>
        <v>Nordic Tsement</v>
      </c>
      <c r="H200" s="62">
        <f>SUM(H201:H203)</f>
        <v>318</v>
      </c>
      <c r="I200" s="49">
        <f>SUM(I201:I203)</f>
        <v>455</v>
      </c>
      <c r="J200" s="49">
        <f>I216</f>
        <v>566</v>
      </c>
      <c r="K200" s="42" t="str">
        <f>A216</f>
        <v>WIRU EHITUS</v>
      </c>
      <c r="L200" s="58">
        <f>SUM(L201:L203)</f>
        <v>397</v>
      </c>
      <c r="M200" s="45">
        <f>SUM(M201:M203)</f>
        <v>534</v>
      </c>
      <c r="N200" s="45">
        <f>M212</f>
        <v>517</v>
      </c>
      <c r="O200" s="42" t="str">
        <f>A212</f>
        <v>Tapa Linnavalitsus</v>
      </c>
      <c r="P200" s="45">
        <f>SUM(P201:P203)</f>
        <v>409</v>
      </c>
      <c r="Q200" s="45">
        <f>SUM(Q201:Q203)</f>
        <v>546</v>
      </c>
      <c r="R200" s="45">
        <f>Q208</f>
        <v>585</v>
      </c>
      <c r="S200" s="42" t="str">
        <f>A208</f>
        <v>UUS MAA</v>
      </c>
      <c r="T200" s="133">
        <f>SUM(T201:T203)</f>
        <v>374</v>
      </c>
      <c r="U200" s="45">
        <f>SUM(U201:U203)</f>
        <v>511</v>
      </c>
      <c r="V200" s="45">
        <f>U204</f>
        <v>558</v>
      </c>
      <c r="W200" s="42" t="str">
        <f>A204</f>
        <v>PENN&amp; PÄRLIN</v>
      </c>
      <c r="X200" s="36">
        <f aca="true" t="shared" si="6" ref="X200:X223">E200+I200+M200+Q200+U200</f>
        <v>2575</v>
      </c>
      <c r="Y200" s="105">
        <f>SUM(Y201:Y203)</f>
        <v>1890</v>
      </c>
      <c r="Z200" s="37">
        <f>AVERAGE(Z201,Z202,Z203)</f>
        <v>171.66666666666666</v>
      </c>
      <c r="AA200" s="142">
        <f>AVERAGE(AA201,AA202,AA203)</f>
        <v>126</v>
      </c>
      <c r="AB200" s="219">
        <f>F201+J201+N201+R201+V201</f>
        <v>2</v>
      </c>
    </row>
    <row r="201" spans="1:28" s="38" customFormat="1" ht="15.75" customHeight="1">
      <c r="A201" s="222" t="s">
        <v>261</v>
      </c>
      <c r="B201" s="223"/>
      <c r="C201" s="159">
        <v>43</v>
      </c>
      <c r="D201" s="59">
        <v>104</v>
      </c>
      <c r="E201" s="50">
        <f>D201+C201</f>
        <v>147</v>
      </c>
      <c r="F201" s="224">
        <v>1</v>
      </c>
      <c r="G201" s="225"/>
      <c r="H201" s="97">
        <v>102</v>
      </c>
      <c r="I201" s="46">
        <f>H201+C201</f>
        <v>145</v>
      </c>
      <c r="J201" s="224">
        <v>0</v>
      </c>
      <c r="K201" s="225"/>
      <c r="L201" s="97">
        <v>136</v>
      </c>
      <c r="M201" s="50">
        <f>L201+C201</f>
        <v>179</v>
      </c>
      <c r="N201" s="224">
        <v>1</v>
      </c>
      <c r="O201" s="225"/>
      <c r="P201" s="97">
        <v>176</v>
      </c>
      <c r="Q201" s="50">
        <f>C201+P201</f>
        <v>219</v>
      </c>
      <c r="R201" s="224">
        <v>0</v>
      </c>
      <c r="S201" s="225"/>
      <c r="T201" s="97">
        <v>104</v>
      </c>
      <c r="U201" s="50">
        <f>T201+C201</f>
        <v>147</v>
      </c>
      <c r="V201" s="224">
        <v>0</v>
      </c>
      <c r="W201" s="225"/>
      <c r="X201" s="46">
        <f t="shared" si="6"/>
        <v>837</v>
      </c>
      <c r="Y201" s="106">
        <f>D201+H201+L201+P201+T201</f>
        <v>622</v>
      </c>
      <c r="Z201" s="67">
        <f>AVERAGE(E201,I201,M201,Q201,U201)</f>
        <v>167.4</v>
      </c>
      <c r="AA201" s="143">
        <f>AVERAGE(E201,I201,M201,Q201,U201)-C201</f>
        <v>124.4</v>
      </c>
      <c r="AB201" s="220"/>
    </row>
    <row r="202" spans="1:28" s="38" customFormat="1" ht="15.75" customHeight="1">
      <c r="A202" s="222" t="s">
        <v>150</v>
      </c>
      <c r="B202" s="223"/>
      <c r="C202" s="159">
        <v>60</v>
      </c>
      <c r="D202" s="59">
        <v>84</v>
      </c>
      <c r="E202" s="50">
        <f>D202+C202</f>
        <v>144</v>
      </c>
      <c r="F202" s="226"/>
      <c r="G202" s="227"/>
      <c r="H202" s="98">
        <v>88</v>
      </c>
      <c r="I202" s="46">
        <f>H202+C202</f>
        <v>148</v>
      </c>
      <c r="J202" s="226"/>
      <c r="K202" s="227"/>
      <c r="L202" s="98">
        <v>131</v>
      </c>
      <c r="M202" s="50">
        <f>L202+C202</f>
        <v>191</v>
      </c>
      <c r="N202" s="226"/>
      <c r="O202" s="227"/>
      <c r="P202" s="98">
        <v>81</v>
      </c>
      <c r="Q202" s="50">
        <f>C202+P202</f>
        <v>141</v>
      </c>
      <c r="R202" s="226"/>
      <c r="S202" s="227"/>
      <c r="T202" s="98">
        <v>134</v>
      </c>
      <c r="U202" s="50">
        <f>T202+C202</f>
        <v>194</v>
      </c>
      <c r="V202" s="226"/>
      <c r="W202" s="227"/>
      <c r="X202" s="46">
        <f t="shared" si="6"/>
        <v>818</v>
      </c>
      <c r="Y202" s="106">
        <f>D202+H202+L202+P202+T202</f>
        <v>518</v>
      </c>
      <c r="Z202" s="67">
        <f>AVERAGE(E202,I202,M202,Q202,U202)</f>
        <v>163.6</v>
      </c>
      <c r="AA202" s="143">
        <f>AVERAGE(E202,I202,M202,Q202,U202)-C202</f>
        <v>103.6</v>
      </c>
      <c r="AB202" s="220"/>
    </row>
    <row r="203" spans="1:28" s="38" customFormat="1" ht="16.5" customHeight="1" thickBot="1">
      <c r="A203" s="229" t="s">
        <v>151</v>
      </c>
      <c r="B203" s="230"/>
      <c r="C203" s="160">
        <v>34</v>
      </c>
      <c r="D203" s="60">
        <v>204</v>
      </c>
      <c r="E203" s="51">
        <f>D203+C203</f>
        <v>238</v>
      </c>
      <c r="F203" s="204"/>
      <c r="G203" s="228"/>
      <c r="H203" s="99">
        <v>128</v>
      </c>
      <c r="I203" s="47">
        <f>H203+C203</f>
        <v>162</v>
      </c>
      <c r="J203" s="204"/>
      <c r="K203" s="228"/>
      <c r="L203" s="99">
        <v>130</v>
      </c>
      <c r="M203" s="51">
        <f>L203+C203</f>
        <v>164</v>
      </c>
      <c r="N203" s="204"/>
      <c r="O203" s="228"/>
      <c r="P203" s="99">
        <v>152</v>
      </c>
      <c r="Q203" s="50">
        <f>C203+P203</f>
        <v>186</v>
      </c>
      <c r="R203" s="204"/>
      <c r="S203" s="228"/>
      <c r="T203" s="99">
        <v>136</v>
      </c>
      <c r="U203" s="50">
        <f>T203+C203</f>
        <v>170</v>
      </c>
      <c r="V203" s="204"/>
      <c r="W203" s="228"/>
      <c r="X203" s="47">
        <f t="shared" si="6"/>
        <v>920</v>
      </c>
      <c r="Y203" s="107">
        <f>D203+H203+L203+P203+T203</f>
        <v>750</v>
      </c>
      <c r="Z203" s="68">
        <f>AVERAGE(E203,I203,M203,Q203,U203)</f>
        <v>184</v>
      </c>
      <c r="AA203" s="144">
        <f>AVERAGE(E203,I203,M203,Q203,U203)-C203</f>
        <v>150</v>
      </c>
      <c r="AB203" s="221"/>
    </row>
    <row r="204" spans="1:28" s="38" customFormat="1" ht="41.25" customHeight="1">
      <c r="A204" s="217" t="s">
        <v>202</v>
      </c>
      <c r="B204" s="218"/>
      <c r="C204" s="158">
        <f>SUM(C205:C207)</f>
        <v>98</v>
      </c>
      <c r="D204" s="62">
        <f>SUM(D205:D207)</f>
        <v>484</v>
      </c>
      <c r="E204" s="45">
        <f>SUM(E205:E207)</f>
        <v>582</v>
      </c>
      <c r="F204" s="45">
        <f>E216</f>
        <v>478</v>
      </c>
      <c r="G204" s="42" t="str">
        <f>A216</f>
        <v>WIRU EHITUS</v>
      </c>
      <c r="H204" s="62">
        <f>SUM(H205:H207)</f>
        <v>477</v>
      </c>
      <c r="I204" s="45">
        <f>SUM(I205:I207)</f>
        <v>575</v>
      </c>
      <c r="J204" s="45">
        <f>I212</f>
        <v>497</v>
      </c>
      <c r="K204" s="42" t="str">
        <f>A212</f>
        <v>Tapa Linnavalitsus</v>
      </c>
      <c r="L204" s="133">
        <f>SUM(L205:L207)</f>
        <v>477</v>
      </c>
      <c r="M204" s="49">
        <f>SUM(M205:M207)</f>
        <v>575</v>
      </c>
      <c r="N204" s="45">
        <f>M208</f>
        <v>568</v>
      </c>
      <c r="O204" s="42" t="str">
        <f>A208</f>
        <v>UUS MAA</v>
      </c>
      <c r="P204" s="45">
        <f>SUM(P205:P207)</f>
        <v>527</v>
      </c>
      <c r="Q204" s="49">
        <f>SUM(Q205:Q207)</f>
        <v>625</v>
      </c>
      <c r="R204" s="45">
        <f>Q220</f>
        <v>497</v>
      </c>
      <c r="S204" s="42" t="str">
        <f>A220</f>
        <v>Nordic Tsement</v>
      </c>
      <c r="T204" s="133">
        <f>SUM(T205:T207)</f>
        <v>460</v>
      </c>
      <c r="U204" s="49">
        <f>SUM(U205:U207)</f>
        <v>558</v>
      </c>
      <c r="V204" s="45">
        <f>U200</f>
        <v>511</v>
      </c>
      <c r="W204" s="42" t="str">
        <f>A200</f>
        <v>Eesti Energia</v>
      </c>
      <c r="X204" s="36">
        <f t="shared" si="6"/>
        <v>2915</v>
      </c>
      <c r="Y204" s="105">
        <f>SUM(Y205:Y207)</f>
        <v>2425</v>
      </c>
      <c r="Z204" s="65">
        <f>AVERAGE(Z205,Z206,Z207)</f>
        <v>194.33333333333334</v>
      </c>
      <c r="AA204" s="142">
        <f>AVERAGE(AA205,AA206,AA207)</f>
        <v>161.66666666666666</v>
      </c>
      <c r="AB204" s="219">
        <f>F205+J205+N205+R205+V205</f>
        <v>5</v>
      </c>
    </row>
    <row r="205" spans="1:28" s="38" customFormat="1" ht="15.75" customHeight="1">
      <c r="A205" s="222" t="s">
        <v>214</v>
      </c>
      <c r="B205" s="223"/>
      <c r="C205" s="159">
        <v>35</v>
      </c>
      <c r="D205" s="59">
        <v>162</v>
      </c>
      <c r="E205" s="50">
        <f>D205+C205</f>
        <v>197</v>
      </c>
      <c r="F205" s="224">
        <v>1</v>
      </c>
      <c r="G205" s="225"/>
      <c r="H205" s="97">
        <v>163</v>
      </c>
      <c r="I205" s="46">
        <f>H205+C205</f>
        <v>198</v>
      </c>
      <c r="J205" s="224">
        <v>1</v>
      </c>
      <c r="K205" s="225"/>
      <c r="L205" s="97">
        <v>154</v>
      </c>
      <c r="M205" s="50">
        <f>L205+C205</f>
        <v>189</v>
      </c>
      <c r="N205" s="224">
        <v>1</v>
      </c>
      <c r="O205" s="225"/>
      <c r="P205" s="97">
        <v>177</v>
      </c>
      <c r="Q205" s="50">
        <f>C205+P205</f>
        <v>212</v>
      </c>
      <c r="R205" s="224">
        <v>1</v>
      </c>
      <c r="S205" s="225"/>
      <c r="T205" s="97">
        <v>142</v>
      </c>
      <c r="U205" s="50">
        <f>T205+C205</f>
        <v>177</v>
      </c>
      <c r="V205" s="224">
        <v>1</v>
      </c>
      <c r="W205" s="225"/>
      <c r="X205" s="46">
        <f t="shared" si="6"/>
        <v>973</v>
      </c>
      <c r="Y205" s="106">
        <f>D205+H205+L205+P205+T205</f>
        <v>798</v>
      </c>
      <c r="Z205" s="67">
        <f>AVERAGE(E205,I205,M205,Q205,U205)</f>
        <v>194.6</v>
      </c>
      <c r="AA205" s="143">
        <f>AVERAGE(E205,I205,M205,Q205,U205)-C205</f>
        <v>159.6</v>
      </c>
      <c r="AB205" s="220"/>
    </row>
    <row r="206" spans="1:28" s="38" customFormat="1" ht="15.75" customHeight="1">
      <c r="A206" s="222" t="s">
        <v>212</v>
      </c>
      <c r="B206" s="223"/>
      <c r="C206" s="159">
        <v>21</v>
      </c>
      <c r="D206" s="59">
        <v>179</v>
      </c>
      <c r="E206" s="50">
        <f>D206+C206</f>
        <v>200</v>
      </c>
      <c r="F206" s="226"/>
      <c r="G206" s="227"/>
      <c r="H206" s="98">
        <v>118</v>
      </c>
      <c r="I206" s="46">
        <f>H206+C206</f>
        <v>139</v>
      </c>
      <c r="J206" s="226"/>
      <c r="K206" s="227"/>
      <c r="L206" s="98">
        <v>181</v>
      </c>
      <c r="M206" s="50">
        <f>L206+C206</f>
        <v>202</v>
      </c>
      <c r="N206" s="226"/>
      <c r="O206" s="227"/>
      <c r="P206" s="98">
        <v>202</v>
      </c>
      <c r="Q206" s="50">
        <f>C206+P206</f>
        <v>223</v>
      </c>
      <c r="R206" s="226"/>
      <c r="S206" s="227"/>
      <c r="T206" s="98">
        <v>197</v>
      </c>
      <c r="U206" s="50">
        <f>T206+C206</f>
        <v>218</v>
      </c>
      <c r="V206" s="226"/>
      <c r="W206" s="227"/>
      <c r="X206" s="46">
        <f t="shared" si="6"/>
        <v>982</v>
      </c>
      <c r="Y206" s="106">
        <f>D206+H206+L206+P206+T206</f>
        <v>877</v>
      </c>
      <c r="Z206" s="67">
        <f>AVERAGE(E206,I206,M206,Q206,U206)</f>
        <v>196.4</v>
      </c>
      <c r="AA206" s="143">
        <f>AVERAGE(E206,I206,M206,Q206,U206)-C206</f>
        <v>175.4</v>
      </c>
      <c r="AB206" s="220"/>
    </row>
    <row r="207" spans="1:28" s="38" customFormat="1" ht="15.75" customHeight="1" thickBot="1">
      <c r="A207" s="229" t="s">
        <v>278</v>
      </c>
      <c r="B207" s="230"/>
      <c r="C207" s="160">
        <v>42</v>
      </c>
      <c r="D207" s="60">
        <v>143</v>
      </c>
      <c r="E207" s="51">
        <f>D207+C207</f>
        <v>185</v>
      </c>
      <c r="F207" s="204"/>
      <c r="G207" s="228"/>
      <c r="H207" s="99">
        <v>196</v>
      </c>
      <c r="I207" s="47">
        <f>H207+C207</f>
        <v>238</v>
      </c>
      <c r="J207" s="204"/>
      <c r="K207" s="228"/>
      <c r="L207" s="99">
        <v>142</v>
      </c>
      <c r="M207" s="51">
        <f>L207+C207</f>
        <v>184</v>
      </c>
      <c r="N207" s="204"/>
      <c r="O207" s="228"/>
      <c r="P207" s="99">
        <v>148</v>
      </c>
      <c r="Q207" s="50">
        <f>C207+P207</f>
        <v>190</v>
      </c>
      <c r="R207" s="204"/>
      <c r="S207" s="228"/>
      <c r="T207" s="99">
        <v>121</v>
      </c>
      <c r="U207" s="50">
        <f>T207+C207</f>
        <v>163</v>
      </c>
      <c r="V207" s="204"/>
      <c r="W207" s="228"/>
      <c r="X207" s="47">
        <f t="shared" si="6"/>
        <v>960</v>
      </c>
      <c r="Y207" s="107">
        <f>D207+H207+L207+P207+T207</f>
        <v>750</v>
      </c>
      <c r="Z207" s="68">
        <f>AVERAGE(E207,I207,M207,Q207,U207)</f>
        <v>192</v>
      </c>
      <c r="AA207" s="144">
        <f>AVERAGE(E207,I207,M207,Q207,U207)-C207</f>
        <v>150</v>
      </c>
      <c r="AB207" s="221"/>
    </row>
    <row r="208" spans="1:28" s="38" customFormat="1" ht="47.25" customHeight="1">
      <c r="A208" s="217" t="s">
        <v>106</v>
      </c>
      <c r="B208" s="218"/>
      <c r="C208" s="158">
        <f>SUM(C209:C211)</f>
        <v>129</v>
      </c>
      <c r="D208" s="62">
        <f>SUM(D209:D211)</f>
        <v>412</v>
      </c>
      <c r="E208" s="45">
        <f>SUM(E209:E211)</f>
        <v>541</v>
      </c>
      <c r="F208" s="45">
        <f>E212</f>
        <v>527</v>
      </c>
      <c r="G208" s="42" t="str">
        <f>A212</f>
        <v>Tapa Linnavalitsus</v>
      </c>
      <c r="H208" s="62">
        <f>SUM(H209:H211)</f>
        <v>427</v>
      </c>
      <c r="I208" s="45">
        <f>SUM(I209:I211)</f>
        <v>556</v>
      </c>
      <c r="J208" s="45">
        <f>I220</f>
        <v>526</v>
      </c>
      <c r="K208" s="42" t="str">
        <f>A220</f>
        <v>Nordic Tsement</v>
      </c>
      <c r="L208" s="133">
        <f>SUM(L209:L211)</f>
        <v>439</v>
      </c>
      <c r="M208" s="69">
        <f>SUM(M209:M211)</f>
        <v>568</v>
      </c>
      <c r="N208" s="45">
        <f>M204</f>
        <v>575</v>
      </c>
      <c r="O208" s="42" t="str">
        <f>A204</f>
        <v>PENN&amp; PÄRLIN</v>
      </c>
      <c r="P208" s="45">
        <f>SUM(P209:P211)</f>
        <v>456</v>
      </c>
      <c r="Q208" s="49">
        <f>SUM(Q209:Q211)</f>
        <v>585</v>
      </c>
      <c r="R208" s="45">
        <f>Q200</f>
        <v>546</v>
      </c>
      <c r="S208" s="42" t="str">
        <f>A200</f>
        <v>Eesti Energia</v>
      </c>
      <c r="T208" s="133">
        <f>SUM(T209:T211)</f>
        <v>415</v>
      </c>
      <c r="U208" s="69">
        <f>SUM(U209:U211)</f>
        <v>544</v>
      </c>
      <c r="V208" s="45">
        <f>U216</f>
        <v>547</v>
      </c>
      <c r="W208" s="42" t="str">
        <f>A216</f>
        <v>WIRU EHITUS</v>
      </c>
      <c r="X208" s="36">
        <f t="shared" si="6"/>
        <v>2794</v>
      </c>
      <c r="Y208" s="105">
        <f>SUM(Y209:Y211)</f>
        <v>2149</v>
      </c>
      <c r="Z208" s="65">
        <f>AVERAGE(Z209,Z210,Z211)</f>
        <v>186.26666666666665</v>
      </c>
      <c r="AA208" s="142">
        <f>AVERAGE(AA209,AA210,AA211)</f>
        <v>143.26666666666668</v>
      </c>
      <c r="AB208" s="219">
        <f>F209+J209+N209+R209+V209</f>
        <v>3</v>
      </c>
    </row>
    <row r="209" spans="1:28" s="38" customFormat="1" ht="15.75" customHeight="1">
      <c r="A209" s="222" t="s">
        <v>295</v>
      </c>
      <c r="B209" s="223"/>
      <c r="C209" s="159">
        <v>47</v>
      </c>
      <c r="D209" s="59">
        <v>166</v>
      </c>
      <c r="E209" s="50">
        <f>D209+C209</f>
        <v>213</v>
      </c>
      <c r="F209" s="224">
        <v>1</v>
      </c>
      <c r="G209" s="225"/>
      <c r="H209" s="97">
        <v>133</v>
      </c>
      <c r="I209" s="46">
        <f>H209+C209</f>
        <v>180</v>
      </c>
      <c r="J209" s="224">
        <v>1</v>
      </c>
      <c r="K209" s="225"/>
      <c r="L209" s="97">
        <v>140</v>
      </c>
      <c r="M209" s="50">
        <f>L209+C209</f>
        <v>187</v>
      </c>
      <c r="N209" s="224">
        <v>0</v>
      </c>
      <c r="O209" s="225"/>
      <c r="P209" s="97">
        <v>158</v>
      </c>
      <c r="Q209" s="50">
        <f>C209+P209</f>
        <v>205</v>
      </c>
      <c r="R209" s="224">
        <v>1</v>
      </c>
      <c r="S209" s="225"/>
      <c r="T209" s="97">
        <v>137</v>
      </c>
      <c r="U209" s="50">
        <f>T209+C209</f>
        <v>184</v>
      </c>
      <c r="V209" s="224">
        <v>0</v>
      </c>
      <c r="W209" s="225"/>
      <c r="X209" s="46">
        <f t="shared" si="6"/>
        <v>969</v>
      </c>
      <c r="Y209" s="106">
        <f>D209+H209+L209+P209+T209</f>
        <v>734</v>
      </c>
      <c r="Z209" s="67">
        <f>AVERAGE(E209,I209,M209,Q209,U209)</f>
        <v>193.8</v>
      </c>
      <c r="AA209" s="143">
        <f>AVERAGE(E209,I209,M209,Q209,U209)-C209</f>
        <v>146.8</v>
      </c>
      <c r="AB209" s="220"/>
    </row>
    <row r="210" spans="1:28" s="38" customFormat="1" ht="15.75" customHeight="1">
      <c r="A210" s="222" t="s">
        <v>122</v>
      </c>
      <c r="B210" s="223"/>
      <c r="C210" s="159">
        <v>50</v>
      </c>
      <c r="D210" s="59">
        <v>119</v>
      </c>
      <c r="E210" s="50">
        <f>D210+C210</f>
        <v>169</v>
      </c>
      <c r="F210" s="226"/>
      <c r="G210" s="227"/>
      <c r="H210" s="98">
        <v>141</v>
      </c>
      <c r="I210" s="46">
        <f>H210+C210</f>
        <v>191</v>
      </c>
      <c r="J210" s="226"/>
      <c r="K210" s="227"/>
      <c r="L210" s="98">
        <v>149</v>
      </c>
      <c r="M210" s="50">
        <f>L210+C210</f>
        <v>199</v>
      </c>
      <c r="N210" s="226"/>
      <c r="O210" s="227"/>
      <c r="P210" s="98">
        <v>124</v>
      </c>
      <c r="Q210" s="50">
        <f>C210+P210</f>
        <v>174</v>
      </c>
      <c r="R210" s="226"/>
      <c r="S210" s="227"/>
      <c r="T210" s="98">
        <v>148</v>
      </c>
      <c r="U210" s="50">
        <f>T210+C210</f>
        <v>198</v>
      </c>
      <c r="V210" s="226"/>
      <c r="W210" s="227"/>
      <c r="X210" s="46">
        <f t="shared" si="6"/>
        <v>931</v>
      </c>
      <c r="Y210" s="106">
        <f>D210+H210+L210+P210+T210</f>
        <v>681</v>
      </c>
      <c r="Z210" s="67">
        <f>AVERAGE(E210,I210,M210,Q210,U210)</f>
        <v>186.2</v>
      </c>
      <c r="AA210" s="143">
        <f>AVERAGE(E210,I210,M210,Q210,U210)-C210</f>
        <v>136.2</v>
      </c>
      <c r="AB210" s="220"/>
    </row>
    <row r="211" spans="1:28" s="38" customFormat="1" ht="15.75" customHeight="1" thickBot="1">
      <c r="A211" s="229" t="s">
        <v>129</v>
      </c>
      <c r="B211" s="230"/>
      <c r="C211" s="160">
        <v>32</v>
      </c>
      <c r="D211" s="60">
        <v>127</v>
      </c>
      <c r="E211" s="51">
        <f>D211+C211</f>
        <v>159</v>
      </c>
      <c r="F211" s="204"/>
      <c r="G211" s="228"/>
      <c r="H211" s="99">
        <v>153</v>
      </c>
      <c r="I211" s="47">
        <f>H211+C211</f>
        <v>185</v>
      </c>
      <c r="J211" s="204"/>
      <c r="K211" s="228"/>
      <c r="L211" s="99">
        <v>150</v>
      </c>
      <c r="M211" s="51">
        <f>L211+C211</f>
        <v>182</v>
      </c>
      <c r="N211" s="204"/>
      <c r="O211" s="228"/>
      <c r="P211" s="99">
        <v>174</v>
      </c>
      <c r="Q211" s="50">
        <f>C211+P211</f>
        <v>206</v>
      </c>
      <c r="R211" s="204"/>
      <c r="S211" s="228"/>
      <c r="T211" s="99">
        <v>130</v>
      </c>
      <c r="U211" s="50">
        <f>T211+C211</f>
        <v>162</v>
      </c>
      <c r="V211" s="204"/>
      <c r="W211" s="228"/>
      <c r="X211" s="47">
        <f t="shared" si="6"/>
        <v>894</v>
      </c>
      <c r="Y211" s="107">
        <f>D211+H211+L211+P211+T211</f>
        <v>734</v>
      </c>
      <c r="Z211" s="68">
        <f>AVERAGE(E211,I211,M211,Q211,U211)</f>
        <v>178.8</v>
      </c>
      <c r="AA211" s="144">
        <f>AVERAGE(E211,I211,M211,Q211,U211)-C211</f>
        <v>146.8</v>
      </c>
      <c r="AB211" s="221"/>
    </row>
    <row r="212" spans="1:28" s="38" customFormat="1" ht="39" customHeight="1">
      <c r="A212" s="217" t="s">
        <v>110</v>
      </c>
      <c r="B212" s="218"/>
      <c r="C212" s="158">
        <f>SUM(C213:C215)</f>
        <v>160</v>
      </c>
      <c r="D212" s="62">
        <f>SUM(D213:D215)</f>
        <v>367</v>
      </c>
      <c r="E212" s="45">
        <f>SUM(E213:E215)</f>
        <v>527</v>
      </c>
      <c r="F212" s="45">
        <f>E208</f>
        <v>541</v>
      </c>
      <c r="G212" s="42" t="str">
        <f>A208</f>
        <v>UUS MAA</v>
      </c>
      <c r="H212" s="62">
        <f>SUM(H213:H215)</f>
        <v>337</v>
      </c>
      <c r="I212" s="45">
        <f>SUM(I213:I215)</f>
        <v>497</v>
      </c>
      <c r="J212" s="45">
        <f>I204</f>
        <v>575</v>
      </c>
      <c r="K212" s="42" t="str">
        <f>A204</f>
        <v>PENN&amp; PÄRLIN</v>
      </c>
      <c r="L212" s="133">
        <f>SUM(L213:L215)</f>
        <v>357</v>
      </c>
      <c r="M212" s="49">
        <f>SUM(M213:M215)</f>
        <v>517</v>
      </c>
      <c r="N212" s="45">
        <f>M200</f>
        <v>534</v>
      </c>
      <c r="O212" s="42" t="str">
        <f>A200</f>
        <v>Eesti Energia</v>
      </c>
      <c r="P212" s="45">
        <f>SUM(P213:P215)</f>
        <v>298</v>
      </c>
      <c r="Q212" s="49">
        <f>SUM(Q213:Q215)</f>
        <v>458</v>
      </c>
      <c r="R212" s="45">
        <f>Q216</f>
        <v>550</v>
      </c>
      <c r="S212" s="42" t="str">
        <f>A216</f>
        <v>WIRU EHITUS</v>
      </c>
      <c r="T212" s="133">
        <f>SUM(T213:T215)</f>
        <v>348</v>
      </c>
      <c r="U212" s="49">
        <f>SUM(U213:U215)</f>
        <v>508</v>
      </c>
      <c r="V212" s="45">
        <f>U220</f>
        <v>525</v>
      </c>
      <c r="W212" s="42" t="str">
        <f>A220</f>
        <v>Nordic Tsement</v>
      </c>
      <c r="X212" s="36">
        <f t="shared" si="6"/>
        <v>2507</v>
      </c>
      <c r="Y212" s="105">
        <f>SUM(Y213:Y215)</f>
        <v>1707</v>
      </c>
      <c r="Z212" s="65">
        <f>AVERAGE(Z213,Z214,Z215)</f>
        <v>167.13333333333335</v>
      </c>
      <c r="AA212" s="142">
        <f>AVERAGE(AA213,AA214,AA215)</f>
        <v>113.8</v>
      </c>
      <c r="AB212" s="219">
        <f>F213+J213+N213+R213+V213</f>
        <v>0</v>
      </c>
    </row>
    <row r="213" spans="1:28" s="38" customFormat="1" ht="15.75" customHeight="1">
      <c r="A213" s="222" t="s">
        <v>125</v>
      </c>
      <c r="B213" s="223"/>
      <c r="C213" s="159">
        <v>47</v>
      </c>
      <c r="D213" s="59">
        <v>135</v>
      </c>
      <c r="E213" s="50">
        <f>D213+C213</f>
        <v>182</v>
      </c>
      <c r="F213" s="224">
        <v>0</v>
      </c>
      <c r="G213" s="225"/>
      <c r="H213" s="97">
        <v>100</v>
      </c>
      <c r="I213" s="46">
        <f>H213+C213</f>
        <v>147</v>
      </c>
      <c r="J213" s="224">
        <v>0</v>
      </c>
      <c r="K213" s="225"/>
      <c r="L213" s="97">
        <v>123</v>
      </c>
      <c r="M213" s="50">
        <f>L213+C213</f>
        <v>170</v>
      </c>
      <c r="N213" s="224">
        <v>0</v>
      </c>
      <c r="O213" s="225"/>
      <c r="P213" s="97">
        <v>98</v>
      </c>
      <c r="Q213" s="50">
        <f>C213+P213</f>
        <v>145</v>
      </c>
      <c r="R213" s="224">
        <v>0</v>
      </c>
      <c r="S213" s="225"/>
      <c r="T213" s="97">
        <v>101</v>
      </c>
      <c r="U213" s="50">
        <f>T213+C213</f>
        <v>148</v>
      </c>
      <c r="V213" s="224">
        <v>0</v>
      </c>
      <c r="W213" s="225"/>
      <c r="X213" s="46">
        <f t="shared" si="6"/>
        <v>792</v>
      </c>
      <c r="Y213" s="106">
        <f>D213+H213+L213+P213+T213</f>
        <v>557</v>
      </c>
      <c r="Z213" s="67">
        <f>AVERAGE(E213,I213,M213,Q213,U213)</f>
        <v>158.4</v>
      </c>
      <c r="AA213" s="143">
        <f>AVERAGE(E213,I213,M213,Q213,U213)-C213</f>
        <v>111.4</v>
      </c>
      <c r="AB213" s="220"/>
    </row>
    <row r="214" spans="1:28" s="38" customFormat="1" ht="15.75" customHeight="1">
      <c r="A214" s="222" t="s">
        <v>124</v>
      </c>
      <c r="B214" s="223"/>
      <c r="C214" s="159">
        <v>53</v>
      </c>
      <c r="D214" s="59">
        <v>121</v>
      </c>
      <c r="E214" s="50">
        <f>D214+C214</f>
        <v>174</v>
      </c>
      <c r="F214" s="226"/>
      <c r="G214" s="227"/>
      <c r="H214" s="98">
        <v>129</v>
      </c>
      <c r="I214" s="46">
        <f>H214+C214</f>
        <v>182</v>
      </c>
      <c r="J214" s="226"/>
      <c r="K214" s="227"/>
      <c r="L214" s="98">
        <v>111</v>
      </c>
      <c r="M214" s="50">
        <f>L214+C214</f>
        <v>164</v>
      </c>
      <c r="N214" s="226"/>
      <c r="O214" s="227"/>
      <c r="P214" s="98">
        <v>102</v>
      </c>
      <c r="Q214" s="50">
        <f>C214+P214</f>
        <v>155</v>
      </c>
      <c r="R214" s="226"/>
      <c r="S214" s="227"/>
      <c r="T214" s="98">
        <v>123</v>
      </c>
      <c r="U214" s="50">
        <f>T214+C214</f>
        <v>176</v>
      </c>
      <c r="V214" s="226"/>
      <c r="W214" s="227"/>
      <c r="X214" s="46">
        <f t="shared" si="6"/>
        <v>851</v>
      </c>
      <c r="Y214" s="106">
        <f>D214+H214+L214+P214+T214</f>
        <v>586</v>
      </c>
      <c r="Z214" s="67">
        <f>AVERAGE(E214,I214,M214,Q214,U214)</f>
        <v>170.2</v>
      </c>
      <c r="AA214" s="143">
        <f>AVERAGE(E214,I214,M214,Q214,U214)-C214</f>
        <v>117.19999999999999</v>
      </c>
      <c r="AB214" s="220"/>
    </row>
    <row r="215" spans="1:29" s="38" customFormat="1" ht="15.75" customHeight="1" thickBot="1">
      <c r="A215" s="229" t="s">
        <v>272</v>
      </c>
      <c r="B215" s="230"/>
      <c r="C215" s="160">
        <v>60</v>
      </c>
      <c r="D215" s="60">
        <v>111</v>
      </c>
      <c r="E215" s="51">
        <f>D215+C215</f>
        <v>171</v>
      </c>
      <c r="F215" s="204"/>
      <c r="G215" s="228"/>
      <c r="H215" s="99">
        <v>108</v>
      </c>
      <c r="I215" s="47">
        <f>H215+C215</f>
        <v>168</v>
      </c>
      <c r="J215" s="204"/>
      <c r="K215" s="228"/>
      <c r="L215" s="99">
        <v>123</v>
      </c>
      <c r="M215" s="51">
        <f>L215+C215</f>
        <v>183</v>
      </c>
      <c r="N215" s="204"/>
      <c r="O215" s="228"/>
      <c r="P215" s="99">
        <v>98</v>
      </c>
      <c r="Q215" s="50">
        <f>C215+P215</f>
        <v>158</v>
      </c>
      <c r="R215" s="204"/>
      <c r="S215" s="228"/>
      <c r="T215" s="99">
        <v>124</v>
      </c>
      <c r="U215" s="50">
        <f>T215+C215</f>
        <v>184</v>
      </c>
      <c r="V215" s="204"/>
      <c r="W215" s="228"/>
      <c r="X215" s="47">
        <f t="shared" si="6"/>
        <v>864</v>
      </c>
      <c r="Y215" s="107">
        <f>D215+H215+L215+P215+T215</f>
        <v>564</v>
      </c>
      <c r="Z215" s="68">
        <f>AVERAGE(E215,I215,M215,Q215,U215)</f>
        <v>172.8</v>
      </c>
      <c r="AA215" s="144">
        <f>AVERAGE(E215,I215,M215,Q215,U215)-C215</f>
        <v>112.80000000000001</v>
      </c>
      <c r="AB215" s="221"/>
      <c r="AC215" s="44"/>
    </row>
    <row r="216" spans="1:28" s="38" customFormat="1" ht="40.5" customHeight="1">
      <c r="A216" s="217" t="s">
        <v>254</v>
      </c>
      <c r="B216" s="218"/>
      <c r="C216" s="158">
        <f>SUM(C217:C219)</f>
        <v>171</v>
      </c>
      <c r="D216" s="62">
        <f>SUM(D217:D219)</f>
        <v>307</v>
      </c>
      <c r="E216" s="45">
        <f>SUM(E217:E219)</f>
        <v>478</v>
      </c>
      <c r="F216" s="45">
        <f>E204</f>
        <v>582</v>
      </c>
      <c r="G216" s="42" t="str">
        <f>A204</f>
        <v>PENN&amp; PÄRLIN</v>
      </c>
      <c r="H216" s="62">
        <f>SUM(H217:H219)</f>
        <v>395</v>
      </c>
      <c r="I216" s="45">
        <f>SUM(I217:I219)</f>
        <v>566</v>
      </c>
      <c r="J216" s="45">
        <f>I200</f>
        <v>455</v>
      </c>
      <c r="K216" s="42" t="str">
        <f>A200</f>
        <v>Eesti Energia</v>
      </c>
      <c r="L216" s="133">
        <f>SUM(L217:L219)</f>
        <v>356</v>
      </c>
      <c r="M216" s="69">
        <f>SUM(M217:M219)</f>
        <v>527</v>
      </c>
      <c r="N216" s="45">
        <f>M220</f>
        <v>473</v>
      </c>
      <c r="O216" s="42" t="str">
        <f>A220</f>
        <v>Nordic Tsement</v>
      </c>
      <c r="P216" s="45">
        <f>SUM(P217:P219)</f>
        <v>379</v>
      </c>
      <c r="Q216" s="69">
        <f>SUM(Q217:Q219)</f>
        <v>550</v>
      </c>
      <c r="R216" s="45">
        <f>Q212</f>
        <v>458</v>
      </c>
      <c r="S216" s="42" t="str">
        <f>A212</f>
        <v>Tapa Linnavalitsus</v>
      </c>
      <c r="T216" s="133">
        <f>SUM(T217:T219)</f>
        <v>376</v>
      </c>
      <c r="U216" s="69">
        <f>SUM(U217:U219)</f>
        <v>547</v>
      </c>
      <c r="V216" s="45">
        <f>U208</f>
        <v>544</v>
      </c>
      <c r="W216" s="42" t="str">
        <f>A208</f>
        <v>UUS MAA</v>
      </c>
      <c r="X216" s="36">
        <f t="shared" si="6"/>
        <v>2668</v>
      </c>
      <c r="Y216" s="105">
        <f>SUM(Y217:Y219)</f>
        <v>1813</v>
      </c>
      <c r="Z216" s="65">
        <f>AVERAGE(Z217,Z218,Z219)</f>
        <v>177.86666666666665</v>
      </c>
      <c r="AA216" s="142">
        <f>AVERAGE(AA217,AA218,AA219)</f>
        <v>120.86666666666667</v>
      </c>
      <c r="AB216" s="219">
        <f>F217+J217+N217+R217+V217</f>
        <v>4</v>
      </c>
    </row>
    <row r="217" spans="1:28" s="38" customFormat="1" ht="15.75" customHeight="1">
      <c r="A217" s="222" t="s">
        <v>238</v>
      </c>
      <c r="B217" s="223"/>
      <c r="C217" s="159">
        <v>51</v>
      </c>
      <c r="D217" s="59">
        <v>121</v>
      </c>
      <c r="E217" s="50">
        <f>D217+C217</f>
        <v>172</v>
      </c>
      <c r="F217" s="224">
        <v>0</v>
      </c>
      <c r="G217" s="225"/>
      <c r="H217" s="97">
        <v>110</v>
      </c>
      <c r="I217" s="46">
        <f>H217+C217</f>
        <v>161</v>
      </c>
      <c r="J217" s="224">
        <v>1</v>
      </c>
      <c r="K217" s="225"/>
      <c r="L217" s="97">
        <v>107</v>
      </c>
      <c r="M217" s="50">
        <f>L217+C217</f>
        <v>158</v>
      </c>
      <c r="N217" s="224">
        <v>1</v>
      </c>
      <c r="O217" s="225"/>
      <c r="P217" s="97">
        <v>140</v>
      </c>
      <c r="Q217" s="50">
        <f>C217+P217</f>
        <v>191</v>
      </c>
      <c r="R217" s="224">
        <v>1</v>
      </c>
      <c r="S217" s="225"/>
      <c r="T217" s="97">
        <v>122</v>
      </c>
      <c r="U217" s="50">
        <f>T217+C217</f>
        <v>173</v>
      </c>
      <c r="V217" s="224">
        <v>1</v>
      </c>
      <c r="W217" s="225"/>
      <c r="X217" s="46">
        <f t="shared" si="6"/>
        <v>855</v>
      </c>
      <c r="Y217" s="106">
        <f>D217+H217+L217+P217+T217</f>
        <v>600</v>
      </c>
      <c r="Z217" s="67">
        <f>AVERAGE(E217,I217,M217,Q217,U217)</f>
        <v>171</v>
      </c>
      <c r="AA217" s="143">
        <f>AVERAGE(E217,I217,M217,Q217,U217)-C217</f>
        <v>120</v>
      </c>
      <c r="AB217" s="220"/>
    </row>
    <row r="218" spans="1:28" s="38" customFormat="1" ht="15.75" customHeight="1">
      <c r="A218" s="222" t="s">
        <v>239</v>
      </c>
      <c r="B218" s="223"/>
      <c r="C218" s="159">
        <v>60</v>
      </c>
      <c r="D218" s="59">
        <v>130</v>
      </c>
      <c r="E218" s="50">
        <f>D218+C218</f>
        <v>190</v>
      </c>
      <c r="F218" s="226"/>
      <c r="G218" s="227"/>
      <c r="H218" s="98">
        <v>141</v>
      </c>
      <c r="I218" s="46">
        <f>H218+C218</f>
        <v>201</v>
      </c>
      <c r="J218" s="226"/>
      <c r="K218" s="227"/>
      <c r="L218" s="98">
        <v>113</v>
      </c>
      <c r="M218" s="50">
        <f>L218+C218</f>
        <v>173</v>
      </c>
      <c r="N218" s="226"/>
      <c r="O218" s="227"/>
      <c r="P218" s="98">
        <v>138</v>
      </c>
      <c r="Q218" s="50">
        <f>C218+P218</f>
        <v>198</v>
      </c>
      <c r="R218" s="226"/>
      <c r="S218" s="227"/>
      <c r="T218" s="98">
        <v>135</v>
      </c>
      <c r="U218" s="50">
        <f>T218+C218</f>
        <v>195</v>
      </c>
      <c r="V218" s="226"/>
      <c r="W218" s="227"/>
      <c r="X218" s="46">
        <f t="shared" si="6"/>
        <v>957</v>
      </c>
      <c r="Y218" s="106">
        <f>D218+H218+L218+P218+T218</f>
        <v>657</v>
      </c>
      <c r="Z218" s="67">
        <f>AVERAGE(E218,I218,M218,Q218,U218)</f>
        <v>191.4</v>
      </c>
      <c r="AA218" s="143">
        <f>AVERAGE(E218,I218,M218,Q218,U218)-C218</f>
        <v>131.4</v>
      </c>
      <c r="AB218" s="220"/>
    </row>
    <row r="219" spans="1:28" s="38" customFormat="1" ht="15.75" customHeight="1" thickBot="1">
      <c r="A219" s="229" t="s">
        <v>296</v>
      </c>
      <c r="B219" s="230"/>
      <c r="C219" s="160">
        <v>60</v>
      </c>
      <c r="D219" s="60">
        <v>56</v>
      </c>
      <c r="E219" s="51">
        <f>D219+C219</f>
        <v>116</v>
      </c>
      <c r="F219" s="204"/>
      <c r="G219" s="228"/>
      <c r="H219" s="99">
        <v>144</v>
      </c>
      <c r="I219" s="47">
        <f>H219+C219</f>
        <v>204</v>
      </c>
      <c r="J219" s="204"/>
      <c r="K219" s="228"/>
      <c r="L219" s="99">
        <v>136</v>
      </c>
      <c r="M219" s="51">
        <f>L219+C219</f>
        <v>196</v>
      </c>
      <c r="N219" s="204"/>
      <c r="O219" s="228"/>
      <c r="P219" s="99">
        <v>101</v>
      </c>
      <c r="Q219" s="50">
        <f>C219+P219</f>
        <v>161</v>
      </c>
      <c r="R219" s="204"/>
      <c r="S219" s="228"/>
      <c r="T219" s="99">
        <v>119</v>
      </c>
      <c r="U219" s="50">
        <f>T219+C219</f>
        <v>179</v>
      </c>
      <c r="V219" s="204"/>
      <c r="W219" s="228"/>
      <c r="X219" s="47">
        <f t="shared" si="6"/>
        <v>856</v>
      </c>
      <c r="Y219" s="107">
        <f>D219+H219+L219+P219+T219</f>
        <v>556</v>
      </c>
      <c r="Z219" s="68">
        <f>AVERAGE(E219,I219,M219,Q219,U219)</f>
        <v>171.2</v>
      </c>
      <c r="AA219" s="144">
        <f>AVERAGE(E219,I219,M219,Q219,U219)-C219</f>
        <v>111.19999999999999</v>
      </c>
      <c r="AB219" s="221"/>
    </row>
    <row r="220" spans="1:28" s="38" customFormat="1" ht="42" customHeight="1">
      <c r="A220" s="217" t="s">
        <v>109</v>
      </c>
      <c r="B220" s="218"/>
      <c r="C220" s="158">
        <f>SUM(C221:C223)</f>
        <v>180</v>
      </c>
      <c r="D220" s="62">
        <f>SUM(D221:D223)</f>
        <v>318</v>
      </c>
      <c r="E220" s="45">
        <f>SUM(E221:E223)</f>
        <v>498</v>
      </c>
      <c r="F220" s="45">
        <f>E200</f>
        <v>529</v>
      </c>
      <c r="G220" s="42" t="str">
        <f>A200</f>
        <v>Eesti Energia</v>
      </c>
      <c r="H220" s="62">
        <f>SUM(H221:H223)</f>
        <v>346</v>
      </c>
      <c r="I220" s="45">
        <f>SUM(I221:I223)</f>
        <v>526</v>
      </c>
      <c r="J220" s="45">
        <f>I208</f>
        <v>556</v>
      </c>
      <c r="K220" s="42" t="str">
        <f>A208</f>
        <v>UUS MAA</v>
      </c>
      <c r="L220" s="133">
        <f>SUM(L221:L223)</f>
        <v>293</v>
      </c>
      <c r="M220" s="49">
        <f>SUM(M221:M223)</f>
        <v>473</v>
      </c>
      <c r="N220" s="45">
        <f>M216</f>
        <v>527</v>
      </c>
      <c r="O220" s="42" t="str">
        <f>A216</f>
        <v>WIRU EHITUS</v>
      </c>
      <c r="P220" s="45">
        <f>SUM(P221:P223)</f>
        <v>317</v>
      </c>
      <c r="Q220" s="49">
        <f>SUM(Q221:Q223)</f>
        <v>497</v>
      </c>
      <c r="R220" s="45">
        <f>Q204</f>
        <v>625</v>
      </c>
      <c r="S220" s="42" t="str">
        <f>A204</f>
        <v>PENN&amp; PÄRLIN</v>
      </c>
      <c r="T220" s="133">
        <f>SUM(T221:T223)</f>
        <v>345</v>
      </c>
      <c r="U220" s="49">
        <f>SUM(U221:U223)</f>
        <v>525</v>
      </c>
      <c r="V220" s="45">
        <f>U212</f>
        <v>508</v>
      </c>
      <c r="W220" s="42" t="str">
        <f>A212</f>
        <v>Tapa Linnavalitsus</v>
      </c>
      <c r="X220" s="36">
        <f t="shared" si="6"/>
        <v>2519</v>
      </c>
      <c r="Y220" s="105">
        <f>SUM(Y221:Y223)</f>
        <v>1619</v>
      </c>
      <c r="Z220" s="65">
        <f>AVERAGE(Z221,Z222,Z223)</f>
        <v>167.93333333333334</v>
      </c>
      <c r="AA220" s="142">
        <f>AVERAGE(AA221,AA222,AA223)</f>
        <v>107.93333333333334</v>
      </c>
      <c r="AB220" s="219">
        <f>F221+J221+N221+R221+V221</f>
        <v>1</v>
      </c>
    </row>
    <row r="221" spans="1:28" s="38" customFormat="1" ht="15.75" customHeight="1">
      <c r="A221" s="222" t="s">
        <v>121</v>
      </c>
      <c r="B221" s="223"/>
      <c r="C221" s="159">
        <v>60</v>
      </c>
      <c r="D221" s="59">
        <v>150</v>
      </c>
      <c r="E221" s="50">
        <f>D221+C221</f>
        <v>210</v>
      </c>
      <c r="F221" s="224">
        <v>0</v>
      </c>
      <c r="G221" s="225"/>
      <c r="H221" s="97">
        <v>141</v>
      </c>
      <c r="I221" s="46">
        <f>H221+C221</f>
        <v>201</v>
      </c>
      <c r="J221" s="224">
        <v>0</v>
      </c>
      <c r="K221" s="225"/>
      <c r="L221" s="97">
        <v>120</v>
      </c>
      <c r="M221" s="50">
        <f>L221+C221</f>
        <v>180</v>
      </c>
      <c r="N221" s="224">
        <v>0</v>
      </c>
      <c r="O221" s="225"/>
      <c r="P221" s="97">
        <v>121</v>
      </c>
      <c r="Q221" s="50">
        <f>C221+P221</f>
        <v>181</v>
      </c>
      <c r="R221" s="224">
        <v>0</v>
      </c>
      <c r="S221" s="225"/>
      <c r="T221" s="97">
        <v>117</v>
      </c>
      <c r="U221" s="50">
        <f>T221+C221</f>
        <v>177</v>
      </c>
      <c r="V221" s="224">
        <v>1</v>
      </c>
      <c r="W221" s="225"/>
      <c r="X221" s="46">
        <f t="shared" si="6"/>
        <v>949</v>
      </c>
      <c r="Y221" s="106">
        <f>D221+H221+L221+P221+T221</f>
        <v>649</v>
      </c>
      <c r="Z221" s="67">
        <f>AVERAGE(E221,I221,M221,Q221,U221)</f>
        <v>189.8</v>
      </c>
      <c r="AA221" s="143">
        <f>AVERAGE(E221,I221,M221,Q221,U221)-C221</f>
        <v>129.8</v>
      </c>
      <c r="AB221" s="220"/>
    </row>
    <row r="222" spans="1:28" s="38" customFormat="1" ht="15.75" customHeight="1">
      <c r="A222" s="222" t="s">
        <v>264</v>
      </c>
      <c r="B222" s="223"/>
      <c r="C222" s="159">
        <v>60</v>
      </c>
      <c r="D222" s="59">
        <v>78</v>
      </c>
      <c r="E222" s="50">
        <f>D222+C222</f>
        <v>138</v>
      </c>
      <c r="F222" s="226"/>
      <c r="G222" s="227"/>
      <c r="H222" s="98">
        <v>112</v>
      </c>
      <c r="I222" s="46">
        <f>H222+C222</f>
        <v>172</v>
      </c>
      <c r="J222" s="226"/>
      <c r="K222" s="227"/>
      <c r="L222" s="98">
        <v>70</v>
      </c>
      <c r="M222" s="50">
        <f>L222+C222</f>
        <v>130</v>
      </c>
      <c r="N222" s="226"/>
      <c r="O222" s="227"/>
      <c r="P222" s="98">
        <v>100</v>
      </c>
      <c r="Q222" s="50">
        <f>C222+P222</f>
        <v>160</v>
      </c>
      <c r="R222" s="226"/>
      <c r="S222" s="227"/>
      <c r="T222" s="98">
        <v>95</v>
      </c>
      <c r="U222" s="50">
        <f>T222+C222</f>
        <v>155</v>
      </c>
      <c r="V222" s="226"/>
      <c r="W222" s="227"/>
      <c r="X222" s="46">
        <f t="shared" si="6"/>
        <v>755</v>
      </c>
      <c r="Y222" s="106">
        <f>D222+H222+L222+P222+T222</f>
        <v>455</v>
      </c>
      <c r="Z222" s="67">
        <f>AVERAGE(E222,I222,M222,Q222,U222)</f>
        <v>151</v>
      </c>
      <c r="AA222" s="143">
        <f>AVERAGE(E222,I222,M222,Q222,U222)-C222</f>
        <v>91</v>
      </c>
      <c r="AB222" s="220"/>
    </row>
    <row r="223" spans="1:28" s="38" customFormat="1" ht="15.75" customHeight="1" thickBot="1">
      <c r="A223" s="229" t="s">
        <v>265</v>
      </c>
      <c r="B223" s="230"/>
      <c r="C223" s="160">
        <v>60</v>
      </c>
      <c r="D223" s="60">
        <v>90</v>
      </c>
      <c r="E223" s="51">
        <f>D223+C223</f>
        <v>150</v>
      </c>
      <c r="F223" s="204"/>
      <c r="G223" s="228"/>
      <c r="H223" s="99">
        <v>93</v>
      </c>
      <c r="I223" s="47">
        <f>H223+C223</f>
        <v>153</v>
      </c>
      <c r="J223" s="204"/>
      <c r="K223" s="228"/>
      <c r="L223" s="99">
        <v>103</v>
      </c>
      <c r="M223" s="51">
        <f>L223+C223</f>
        <v>163</v>
      </c>
      <c r="N223" s="204"/>
      <c r="O223" s="228"/>
      <c r="P223" s="99">
        <v>96</v>
      </c>
      <c r="Q223" s="50">
        <f>C223+P223</f>
        <v>156</v>
      </c>
      <c r="R223" s="204"/>
      <c r="S223" s="228"/>
      <c r="T223" s="99">
        <v>133</v>
      </c>
      <c r="U223" s="50">
        <f>T223+C223</f>
        <v>193</v>
      </c>
      <c r="V223" s="204"/>
      <c r="W223" s="228"/>
      <c r="X223" s="47">
        <f t="shared" si="6"/>
        <v>815</v>
      </c>
      <c r="Y223" s="107">
        <f>D223+H223+L223+P223+T223</f>
        <v>515</v>
      </c>
      <c r="Z223" s="68">
        <f>AVERAGE(E223,I223,M223,Q223,U223)</f>
        <v>163</v>
      </c>
      <c r="AA223" s="144">
        <f>AVERAGE(E223,I223,M223,Q223,U223)-C223</f>
        <v>103</v>
      </c>
      <c r="AB223" s="221"/>
    </row>
  </sheetData>
  <mergeCells count="511">
    <mergeCell ref="A96:B96"/>
    <mergeCell ref="AB96:AB99"/>
    <mergeCell ref="A97:B97"/>
    <mergeCell ref="F97:G99"/>
    <mergeCell ref="J97:K99"/>
    <mergeCell ref="N97:O99"/>
    <mergeCell ref="R97:S99"/>
    <mergeCell ref="V97:W99"/>
    <mergeCell ref="A98:B98"/>
    <mergeCell ref="A99:B99"/>
    <mergeCell ref="A92:B92"/>
    <mergeCell ref="AB92:AB95"/>
    <mergeCell ref="A93:B93"/>
    <mergeCell ref="F93:G95"/>
    <mergeCell ref="J93:K95"/>
    <mergeCell ref="N93:O95"/>
    <mergeCell ref="R93:S95"/>
    <mergeCell ref="V93:W95"/>
    <mergeCell ref="A94:B94"/>
    <mergeCell ref="A95:B95"/>
    <mergeCell ref="A88:B88"/>
    <mergeCell ref="AB88:AB91"/>
    <mergeCell ref="A89:B89"/>
    <mergeCell ref="F89:G91"/>
    <mergeCell ref="J89:K91"/>
    <mergeCell ref="N89:O91"/>
    <mergeCell ref="R89:S91"/>
    <mergeCell ref="V89:W91"/>
    <mergeCell ref="A90:B90"/>
    <mergeCell ref="A91:B91"/>
    <mergeCell ref="A84:B84"/>
    <mergeCell ref="AB84:AB87"/>
    <mergeCell ref="A85:B85"/>
    <mergeCell ref="F85:G87"/>
    <mergeCell ref="J85:K87"/>
    <mergeCell ref="N85:O87"/>
    <mergeCell ref="R85:S87"/>
    <mergeCell ref="V85:W87"/>
    <mergeCell ref="A86:B86"/>
    <mergeCell ref="A87:B87"/>
    <mergeCell ref="A80:B80"/>
    <mergeCell ref="AB80:AB83"/>
    <mergeCell ref="A81:B81"/>
    <mergeCell ref="F81:G83"/>
    <mergeCell ref="J81:K83"/>
    <mergeCell ref="N81:O83"/>
    <mergeCell ref="R81:S83"/>
    <mergeCell ref="V81:W83"/>
    <mergeCell ref="A82:B82"/>
    <mergeCell ref="A83:B83"/>
    <mergeCell ref="A76:B76"/>
    <mergeCell ref="AB76:AB79"/>
    <mergeCell ref="A77:B77"/>
    <mergeCell ref="F77:G79"/>
    <mergeCell ref="J77:K79"/>
    <mergeCell ref="N77:O79"/>
    <mergeCell ref="R77:S79"/>
    <mergeCell ref="V77:W79"/>
    <mergeCell ref="A78:B78"/>
    <mergeCell ref="A79:B79"/>
    <mergeCell ref="V74:W74"/>
    <mergeCell ref="A75:B75"/>
    <mergeCell ref="F75:G75"/>
    <mergeCell ref="J75:K75"/>
    <mergeCell ref="N75:O75"/>
    <mergeCell ref="R75:S75"/>
    <mergeCell ref="V75:W75"/>
    <mergeCell ref="A71:U73"/>
    <mergeCell ref="A74:B74"/>
    <mergeCell ref="F74:G74"/>
    <mergeCell ref="J74:K74"/>
    <mergeCell ref="N74:O74"/>
    <mergeCell ref="R74:S74"/>
    <mergeCell ref="A195:U197"/>
    <mergeCell ref="A198:B198"/>
    <mergeCell ref="F198:G198"/>
    <mergeCell ref="J198:K198"/>
    <mergeCell ref="N198:O198"/>
    <mergeCell ref="R198:S198"/>
    <mergeCell ref="V198:W198"/>
    <mergeCell ref="A199:B199"/>
    <mergeCell ref="F199:G199"/>
    <mergeCell ref="J199:K199"/>
    <mergeCell ref="N199:O199"/>
    <mergeCell ref="R199:S199"/>
    <mergeCell ref="V199:W199"/>
    <mergeCell ref="A200:B200"/>
    <mergeCell ref="AB200:AB203"/>
    <mergeCell ref="A201:B201"/>
    <mergeCell ref="F201:G203"/>
    <mergeCell ref="J201:K203"/>
    <mergeCell ref="N201:O203"/>
    <mergeCell ref="R201:S203"/>
    <mergeCell ref="V201:W203"/>
    <mergeCell ref="A202:B202"/>
    <mergeCell ref="A203:B203"/>
    <mergeCell ref="A204:B204"/>
    <mergeCell ref="AB204:AB207"/>
    <mergeCell ref="A205:B205"/>
    <mergeCell ref="F205:G207"/>
    <mergeCell ref="J205:K207"/>
    <mergeCell ref="N205:O207"/>
    <mergeCell ref="R205:S207"/>
    <mergeCell ref="V205:W207"/>
    <mergeCell ref="A206:B206"/>
    <mergeCell ref="A207:B207"/>
    <mergeCell ref="A208:B208"/>
    <mergeCell ref="AB208:AB211"/>
    <mergeCell ref="A209:B209"/>
    <mergeCell ref="F209:G211"/>
    <mergeCell ref="J209:K211"/>
    <mergeCell ref="N209:O211"/>
    <mergeCell ref="R209:S211"/>
    <mergeCell ref="V209:W211"/>
    <mergeCell ref="A210:B210"/>
    <mergeCell ref="A211:B211"/>
    <mergeCell ref="A212:B212"/>
    <mergeCell ref="AB212:AB215"/>
    <mergeCell ref="A213:B213"/>
    <mergeCell ref="F213:G215"/>
    <mergeCell ref="J213:K215"/>
    <mergeCell ref="N213:O215"/>
    <mergeCell ref="R213:S215"/>
    <mergeCell ref="V213:W215"/>
    <mergeCell ref="A214:B214"/>
    <mergeCell ref="A215:B215"/>
    <mergeCell ref="A216:B216"/>
    <mergeCell ref="AB216:AB219"/>
    <mergeCell ref="A217:B217"/>
    <mergeCell ref="F217:G219"/>
    <mergeCell ref="J217:K219"/>
    <mergeCell ref="N217:O219"/>
    <mergeCell ref="R217:S219"/>
    <mergeCell ref="V217:W219"/>
    <mergeCell ref="A218:B218"/>
    <mergeCell ref="A219:B219"/>
    <mergeCell ref="A220:B220"/>
    <mergeCell ref="AB220:AB223"/>
    <mergeCell ref="A221:B221"/>
    <mergeCell ref="F221:G223"/>
    <mergeCell ref="J221:K223"/>
    <mergeCell ref="N221:O223"/>
    <mergeCell ref="R221:S223"/>
    <mergeCell ref="V221:W223"/>
    <mergeCell ref="A222:B222"/>
    <mergeCell ref="A223:B223"/>
    <mergeCell ref="A164:U166"/>
    <mergeCell ref="A167:B167"/>
    <mergeCell ref="F167:G167"/>
    <mergeCell ref="J167:K167"/>
    <mergeCell ref="N167:O167"/>
    <mergeCell ref="R167:S167"/>
    <mergeCell ref="V167:W167"/>
    <mergeCell ref="A168:B168"/>
    <mergeCell ref="F168:G168"/>
    <mergeCell ref="J168:K168"/>
    <mergeCell ref="N168:O168"/>
    <mergeCell ref="R168:S168"/>
    <mergeCell ref="V168:W168"/>
    <mergeCell ref="A169:B169"/>
    <mergeCell ref="AB169:AB172"/>
    <mergeCell ref="A170:B170"/>
    <mergeCell ref="F170:G172"/>
    <mergeCell ref="J170:K172"/>
    <mergeCell ref="N170:O172"/>
    <mergeCell ref="R170:S172"/>
    <mergeCell ref="V170:W172"/>
    <mergeCell ref="A171:B171"/>
    <mergeCell ref="A172:B172"/>
    <mergeCell ref="A173:B173"/>
    <mergeCell ref="AB173:AB176"/>
    <mergeCell ref="A174:B174"/>
    <mergeCell ref="F174:G176"/>
    <mergeCell ref="J174:K176"/>
    <mergeCell ref="N174:O176"/>
    <mergeCell ref="R174:S176"/>
    <mergeCell ref="V174:W176"/>
    <mergeCell ref="A175:B175"/>
    <mergeCell ref="A176:B176"/>
    <mergeCell ref="A177:B177"/>
    <mergeCell ref="AB177:AB180"/>
    <mergeCell ref="A178:B178"/>
    <mergeCell ref="F178:G180"/>
    <mergeCell ref="J178:K180"/>
    <mergeCell ref="N178:O180"/>
    <mergeCell ref="R178:S180"/>
    <mergeCell ref="V178:W180"/>
    <mergeCell ref="A179:B179"/>
    <mergeCell ref="A180:B180"/>
    <mergeCell ref="A181:B181"/>
    <mergeCell ref="AB181:AB184"/>
    <mergeCell ref="A182:B182"/>
    <mergeCell ref="F182:G184"/>
    <mergeCell ref="J182:K184"/>
    <mergeCell ref="N182:O184"/>
    <mergeCell ref="R182:S184"/>
    <mergeCell ref="V182:W184"/>
    <mergeCell ref="A183:B183"/>
    <mergeCell ref="A184:B184"/>
    <mergeCell ref="A185:B185"/>
    <mergeCell ref="AB185:AB188"/>
    <mergeCell ref="A186:B186"/>
    <mergeCell ref="F186:G188"/>
    <mergeCell ref="J186:K188"/>
    <mergeCell ref="N186:O188"/>
    <mergeCell ref="R186:S188"/>
    <mergeCell ref="V186:W188"/>
    <mergeCell ref="A187:B187"/>
    <mergeCell ref="A188:B188"/>
    <mergeCell ref="A189:B189"/>
    <mergeCell ref="AB189:AB192"/>
    <mergeCell ref="A190:B190"/>
    <mergeCell ref="F190:G192"/>
    <mergeCell ref="J190:K192"/>
    <mergeCell ref="N190:O192"/>
    <mergeCell ref="R190:S192"/>
    <mergeCell ref="V190:W192"/>
    <mergeCell ref="A191:B191"/>
    <mergeCell ref="A192:B192"/>
    <mergeCell ref="A133:U135"/>
    <mergeCell ref="A136:B136"/>
    <mergeCell ref="F136:G136"/>
    <mergeCell ref="J136:K136"/>
    <mergeCell ref="N136:O136"/>
    <mergeCell ref="R136:S136"/>
    <mergeCell ref="A141:B141"/>
    <mergeCell ref="V136:W136"/>
    <mergeCell ref="A137:B137"/>
    <mergeCell ref="F137:G137"/>
    <mergeCell ref="J137:K137"/>
    <mergeCell ref="N137:O137"/>
    <mergeCell ref="R137:S137"/>
    <mergeCell ref="V137:W137"/>
    <mergeCell ref="A145:B145"/>
    <mergeCell ref="A138:B138"/>
    <mergeCell ref="AB138:AB141"/>
    <mergeCell ref="A139:B139"/>
    <mergeCell ref="F139:G141"/>
    <mergeCell ref="J139:K141"/>
    <mergeCell ref="N139:O141"/>
    <mergeCell ref="R139:S141"/>
    <mergeCell ref="V139:W141"/>
    <mergeCell ref="A140:B140"/>
    <mergeCell ref="A149:B149"/>
    <mergeCell ref="A142:B142"/>
    <mergeCell ref="AB142:AB145"/>
    <mergeCell ref="A143:B143"/>
    <mergeCell ref="F143:G145"/>
    <mergeCell ref="J143:K145"/>
    <mergeCell ref="N143:O145"/>
    <mergeCell ref="R143:S145"/>
    <mergeCell ref="V143:W145"/>
    <mergeCell ref="A144:B144"/>
    <mergeCell ref="A153:B153"/>
    <mergeCell ref="A146:B146"/>
    <mergeCell ref="AB146:AB149"/>
    <mergeCell ref="A147:B147"/>
    <mergeCell ref="F147:G149"/>
    <mergeCell ref="J147:K149"/>
    <mergeCell ref="N147:O149"/>
    <mergeCell ref="R147:S149"/>
    <mergeCell ref="V147:W149"/>
    <mergeCell ref="A148:B148"/>
    <mergeCell ref="A157:B157"/>
    <mergeCell ref="A150:B150"/>
    <mergeCell ref="AB150:AB153"/>
    <mergeCell ref="A151:B151"/>
    <mergeCell ref="F151:G153"/>
    <mergeCell ref="J151:K153"/>
    <mergeCell ref="N151:O153"/>
    <mergeCell ref="R151:S153"/>
    <mergeCell ref="V151:W153"/>
    <mergeCell ref="A152:B152"/>
    <mergeCell ref="A161:B161"/>
    <mergeCell ref="A154:B154"/>
    <mergeCell ref="AB154:AB157"/>
    <mergeCell ref="A155:B155"/>
    <mergeCell ref="F155:G157"/>
    <mergeCell ref="J155:K157"/>
    <mergeCell ref="N155:O157"/>
    <mergeCell ref="R155:S157"/>
    <mergeCell ref="V155:W157"/>
    <mergeCell ref="A156:B156"/>
    <mergeCell ref="A102:U104"/>
    <mergeCell ref="A158:B158"/>
    <mergeCell ref="AB158:AB161"/>
    <mergeCell ref="A159:B159"/>
    <mergeCell ref="F159:G161"/>
    <mergeCell ref="J159:K161"/>
    <mergeCell ref="N159:O161"/>
    <mergeCell ref="R159:S161"/>
    <mergeCell ref="V159:W161"/>
    <mergeCell ref="A160:B160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V105:W105"/>
    <mergeCell ref="F106:G106"/>
    <mergeCell ref="J106:K106"/>
    <mergeCell ref="N106:O106"/>
    <mergeCell ref="R106:S106"/>
    <mergeCell ref="V106:W106"/>
    <mergeCell ref="F105:G105"/>
    <mergeCell ref="J105:K105"/>
    <mergeCell ref="N105:O105"/>
    <mergeCell ref="R105:S105"/>
    <mergeCell ref="AB107:AB110"/>
    <mergeCell ref="F108:G110"/>
    <mergeCell ref="J108:K110"/>
    <mergeCell ref="N108:O110"/>
    <mergeCell ref="R108:S110"/>
    <mergeCell ref="V108:W110"/>
    <mergeCell ref="AB111:AB114"/>
    <mergeCell ref="F112:G114"/>
    <mergeCell ref="J112:K114"/>
    <mergeCell ref="N112:O114"/>
    <mergeCell ref="R112:S114"/>
    <mergeCell ref="V112:W114"/>
    <mergeCell ref="AB115:AB118"/>
    <mergeCell ref="F116:G118"/>
    <mergeCell ref="J116:K118"/>
    <mergeCell ref="N116:O118"/>
    <mergeCell ref="R116:S118"/>
    <mergeCell ref="V116:W118"/>
    <mergeCell ref="AB119:AB122"/>
    <mergeCell ref="F120:G122"/>
    <mergeCell ref="J120:K122"/>
    <mergeCell ref="N120:O122"/>
    <mergeCell ref="R120:S122"/>
    <mergeCell ref="V120:W122"/>
    <mergeCell ref="AB123:AB126"/>
    <mergeCell ref="F124:G126"/>
    <mergeCell ref="J124:K126"/>
    <mergeCell ref="N124:O126"/>
    <mergeCell ref="R124:S126"/>
    <mergeCell ref="V124:W126"/>
    <mergeCell ref="A129:B129"/>
    <mergeCell ref="A130:B130"/>
    <mergeCell ref="AB127:AB130"/>
    <mergeCell ref="F128:G130"/>
    <mergeCell ref="J128:K130"/>
    <mergeCell ref="N128:O130"/>
    <mergeCell ref="R128:S130"/>
    <mergeCell ref="V128:W130"/>
    <mergeCell ref="A31:U33"/>
    <mergeCell ref="A34:B34"/>
    <mergeCell ref="F34:G34"/>
    <mergeCell ref="J34:K34"/>
    <mergeCell ref="N34:O34"/>
    <mergeCell ref="R34:S34"/>
    <mergeCell ref="V34:W34"/>
    <mergeCell ref="A35:B35"/>
    <mergeCell ref="F35:G35"/>
    <mergeCell ref="J35:K35"/>
    <mergeCell ref="N35:O35"/>
    <mergeCell ref="R35:S35"/>
    <mergeCell ref="V35:W35"/>
    <mergeCell ref="A36:B36"/>
    <mergeCell ref="AB36:AB39"/>
    <mergeCell ref="A37:B37"/>
    <mergeCell ref="F37:G39"/>
    <mergeCell ref="J37:K39"/>
    <mergeCell ref="N37:O39"/>
    <mergeCell ref="R37:S39"/>
    <mergeCell ref="V37:W39"/>
    <mergeCell ref="A38:B38"/>
    <mergeCell ref="A39:B39"/>
    <mergeCell ref="A40:B40"/>
    <mergeCell ref="AB40:AB43"/>
    <mergeCell ref="A41:B41"/>
    <mergeCell ref="F41:G43"/>
    <mergeCell ref="J41:K43"/>
    <mergeCell ref="N41:O43"/>
    <mergeCell ref="R41:S43"/>
    <mergeCell ref="V41:W43"/>
    <mergeCell ref="A42:B42"/>
    <mergeCell ref="A43:B43"/>
    <mergeCell ref="A44:B44"/>
    <mergeCell ref="AB44:AB47"/>
    <mergeCell ref="A45:B45"/>
    <mergeCell ref="F45:G47"/>
    <mergeCell ref="J45:K47"/>
    <mergeCell ref="N45:O47"/>
    <mergeCell ref="R45:S47"/>
    <mergeCell ref="V45:W47"/>
    <mergeCell ref="A46:B46"/>
    <mergeCell ref="A47:B47"/>
    <mergeCell ref="A48:B48"/>
    <mergeCell ref="AB48:AB51"/>
    <mergeCell ref="A49:B49"/>
    <mergeCell ref="F49:G51"/>
    <mergeCell ref="J49:K51"/>
    <mergeCell ref="N49:O51"/>
    <mergeCell ref="R49:S51"/>
    <mergeCell ref="V49:W51"/>
    <mergeCell ref="A50:B50"/>
    <mergeCell ref="A51:B51"/>
    <mergeCell ref="A52:B52"/>
    <mergeCell ref="AB52:AB55"/>
    <mergeCell ref="A53:B53"/>
    <mergeCell ref="F53:G55"/>
    <mergeCell ref="J53:K55"/>
    <mergeCell ref="N53:O55"/>
    <mergeCell ref="R53:S55"/>
    <mergeCell ref="V53:W55"/>
    <mergeCell ref="A54:B54"/>
    <mergeCell ref="A55:B55"/>
    <mergeCell ref="A56:B56"/>
    <mergeCell ref="AB56:AB59"/>
    <mergeCell ref="A57:B57"/>
    <mergeCell ref="F57:G59"/>
    <mergeCell ref="J57:K59"/>
    <mergeCell ref="N57:O59"/>
    <mergeCell ref="R57:S59"/>
    <mergeCell ref="V57:W59"/>
    <mergeCell ref="A58:B58"/>
    <mergeCell ref="A59:B59"/>
    <mergeCell ref="A1:U3"/>
    <mergeCell ref="A4:B4"/>
    <mergeCell ref="F4:G4"/>
    <mergeCell ref="J4:K4"/>
    <mergeCell ref="N4:O4"/>
    <mergeCell ref="R4:S4"/>
    <mergeCell ref="V4:W4"/>
    <mergeCell ref="A5:B5"/>
    <mergeCell ref="F5:G5"/>
    <mergeCell ref="J5:K5"/>
    <mergeCell ref="N5:O5"/>
    <mergeCell ref="R5:S5"/>
    <mergeCell ref="V5:W5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</mergeCells>
  <conditionalFormatting sqref="J217 C217:E219 F217 C213:W215 H217:I219 X213:X219 J204 Y217:Z219 V217 L217:M219 R217 N217 C209:Z211 Y213:Z215 C205:Z207 C201:Z203 T217:U219 P217:Q219 C221:Z223 J186 C170:Z172 F186 L186:M188 T186:U188 X182:X188 J173 Y186:Z188 V186 C174:Z176 R186 N186 P186:Q188 Y182:Z184 H186:I188 C186:E188 C182:W184 C178:Z180 C190:Z192 J155 T155:U157 F155 L155:M157 C151:W153 X151:X157 J142 Y155:Z157 V155 C139:Z141 R155 N155 P155:Q157 Y151:Z153 H155:I157 C155:E157 H124:I126 C143:Z145 C159:Z161 J124 C120:W122 F124 C112:Z114 P124:Q126 X120:X126 J111 Y124:Z126 V124 C147:Z149 R124 N124 C116:Z118 Y120:Z122 C108:Z110 T124:U126 L124:M126 C124:E126 C128:Z130 T93:U95 J93 C77:Z79 F93 H93:I95 C85:Z87 X89:X95 J80 Y93:Z95 V93 R93 N93 L93:M95 Y89:Z91 C93:E95 C89:W91 C81:Z83 P93:Q95 C97:Z99 C49:W51 J53 C53:E55 F53 C37:Z39 L53:M55 X49:X55 J40 Y53:Z55 V53 R53 N53 C41:Z43 Y49:Z51 T53:U55 P53:Q55 H53:I55 C45:Z47 C57:Z59 P23:Q25 J23 T23:U25 F23 C23:E25 C11:Z13 X19:X25 J10 Y23:Z25 V23 R23 N23 H23:I25 Y19:Z21 C19:W21 C15:Z17 C7:Z9 L23:M25 C27:Z29">
    <cfRule type="cellIs" priority="1" dxfId="6" operator="between" stopIfTrue="1">
      <formula>200</formula>
      <formula>300</formula>
    </cfRule>
  </conditionalFormatting>
  <printOptions/>
  <pageMargins left="0.38" right="0.46" top="1" bottom="1" header="0.5" footer="0.5"/>
  <pageSetup fitToHeight="1" fitToWidth="1" horizontalDpi="300" verticalDpi="3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zoomScale="70" zoomScaleNormal="70" workbookViewId="0" topLeftCell="A1">
      <selection activeCell="V2" sqref="V2"/>
    </sheetView>
  </sheetViews>
  <sheetFormatPr defaultColWidth="9.140625" defaultRowHeight="12.75"/>
  <cols>
    <col min="1" max="1" width="9.140625" style="39" customWidth="1"/>
    <col min="2" max="2" width="10.421875" style="39" customWidth="1"/>
    <col min="3" max="3" width="5.28125" style="161" customWidth="1"/>
    <col min="4" max="4" width="5.28125" style="61" hidden="1" customWidth="1"/>
    <col min="5" max="5" width="8.28125" style="22" bestFit="1" customWidth="1"/>
    <col min="6" max="6" width="7.28125" style="22" customWidth="1"/>
    <col min="7" max="7" width="8.57421875" style="22" customWidth="1"/>
    <col min="8" max="8" width="5.28125" style="83" hidden="1" customWidth="1"/>
    <col min="9" max="9" width="8.28125" style="22" bestFit="1" customWidth="1"/>
    <col min="10" max="10" width="7.140625" style="22" customWidth="1"/>
    <col min="11" max="11" width="8.57421875" style="22" customWidth="1"/>
    <col min="12" max="12" width="5.28125" style="83" hidden="1" customWidth="1"/>
    <col min="13" max="13" width="8.28125" style="22" bestFit="1" customWidth="1"/>
    <col min="14" max="14" width="7.421875" style="22" customWidth="1"/>
    <col min="15" max="15" width="8.7109375" style="22" customWidth="1"/>
    <col min="16" max="16" width="5.28125" style="83" hidden="1" customWidth="1"/>
    <col min="17" max="17" width="8.28125" style="22" bestFit="1" customWidth="1"/>
    <col min="18" max="18" width="7.8515625" style="22" customWidth="1"/>
    <col min="19" max="19" width="9.00390625" style="22" customWidth="1"/>
    <col min="20" max="20" width="5.28125" style="83" hidden="1" customWidth="1"/>
    <col min="21" max="21" width="8.28125" style="22" bestFit="1" customWidth="1"/>
    <col min="22" max="22" width="7.421875" style="22" customWidth="1"/>
    <col min="23" max="23" width="8.7109375" style="22" customWidth="1"/>
    <col min="24" max="24" width="10.00390625" style="22" customWidth="1"/>
    <col min="25" max="25" width="5.8515625" style="83" hidden="1" customWidth="1"/>
    <col min="26" max="26" width="11.28125" style="22" customWidth="1"/>
    <col min="27" max="27" width="9.421875" style="122" customWidth="1"/>
    <col min="28" max="28" width="10.8515625" style="22" bestFit="1" customWidth="1"/>
    <col min="29" max="16384" width="9.140625" style="22" customWidth="1"/>
  </cols>
  <sheetData>
    <row r="1" spans="1:28" s="40" customFormat="1" ht="9" customHeight="1">
      <c r="A1" s="233" t="s">
        <v>292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4"/>
      <c r="W1" s="25"/>
      <c r="Y1" s="57"/>
      <c r="Z1" s="41"/>
      <c r="AA1" s="121"/>
      <c r="AB1" s="25"/>
    </row>
    <row r="2" spans="1:28" s="40" customFormat="1" ht="4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4"/>
      <c r="W2" s="25"/>
      <c r="Y2" s="57"/>
      <c r="Z2" s="41"/>
      <c r="AA2" s="121"/>
      <c r="AB2" s="25"/>
    </row>
    <row r="3" spans="1:28" s="40" customFormat="1" ht="25.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5"/>
      <c r="W3" s="25"/>
      <c r="Y3" s="57"/>
      <c r="Z3" s="41"/>
      <c r="AA3" s="121"/>
      <c r="AB3" s="25"/>
    </row>
    <row r="4" spans="1:28" s="31" customFormat="1" ht="15.75" customHeight="1">
      <c r="A4" s="209" t="s">
        <v>0</v>
      </c>
      <c r="B4" s="210"/>
      <c r="C4" s="156" t="s">
        <v>39</v>
      </c>
      <c r="D4" s="55"/>
      <c r="E4" s="27" t="s">
        <v>1</v>
      </c>
      <c r="F4" s="211" t="s">
        <v>2</v>
      </c>
      <c r="G4" s="212"/>
      <c r="H4" s="94"/>
      <c r="I4" s="27" t="s">
        <v>3</v>
      </c>
      <c r="J4" s="211" t="s">
        <v>2</v>
      </c>
      <c r="K4" s="212"/>
      <c r="L4" s="94"/>
      <c r="M4" s="27" t="s">
        <v>4</v>
      </c>
      <c r="N4" s="211" t="s">
        <v>2</v>
      </c>
      <c r="O4" s="212"/>
      <c r="P4" s="94"/>
      <c r="Q4" s="27" t="s">
        <v>5</v>
      </c>
      <c r="R4" s="211" t="s">
        <v>2</v>
      </c>
      <c r="S4" s="212"/>
      <c r="T4" s="94"/>
      <c r="U4" s="27" t="s">
        <v>6</v>
      </c>
      <c r="V4" s="211" t="s">
        <v>2</v>
      </c>
      <c r="W4" s="212"/>
      <c r="X4" s="28" t="s">
        <v>7</v>
      </c>
      <c r="Y4" s="104"/>
      <c r="Z4" s="29" t="s">
        <v>40</v>
      </c>
      <c r="AA4" s="52" t="s">
        <v>42</v>
      </c>
      <c r="AB4" s="30" t="s">
        <v>7</v>
      </c>
    </row>
    <row r="5" spans="1:28" s="31" customFormat="1" ht="15.75" customHeight="1" thickBot="1">
      <c r="A5" s="213" t="s">
        <v>9</v>
      </c>
      <c r="B5" s="214"/>
      <c r="C5" s="157"/>
      <c r="D5" s="56"/>
      <c r="E5" s="32" t="s">
        <v>10</v>
      </c>
      <c r="F5" s="211" t="s">
        <v>11</v>
      </c>
      <c r="G5" s="212"/>
      <c r="H5" s="95"/>
      <c r="I5" s="32" t="s">
        <v>10</v>
      </c>
      <c r="J5" s="215" t="s">
        <v>11</v>
      </c>
      <c r="K5" s="216"/>
      <c r="L5" s="95"/>
      <c r="M5" s="32" t="s">
        <v>10</v>
      </c>
      <c r="N5" s="215" t="s">
        <v>11</v>
      </c>
      <c r="O5" s="216"/>
      <c r="P5" s="95"/>
      <c r="Q5" s="32" t="s">
        <v>10</v>
      </c>
      <c r="R5" s="215" t="s">
        <v>11</v>
      </c>
      <c r="S5" s="216"/>
      <c r="T5" s="95"/>
      <c r="U5" s="32" t="s">
        <v>10</v>
      </c>
      <c r="V5" s="215" t="s">
        <v>11</v>
      </c>
      <c r="W5" s="216"/>
      <c r="X5" s="33" t="s">
        <v>10</v>
      </c>
      <c r="Y5" s="134" t="s">
        <v>287</v>
      </c>
      <c r="Z5" s="34" t="s">
        <v>41</v>
      </c>
      <c r="AA5" s="53" t="s">
        <v>43</v>
      </c>
      <c r="AB5" s="35" t="s">
        <v>12</v>
      </c>
    </row>
    <row r="6" spans="1:28" s="38" customFormat="1" ht="42" customHeight="1">
      <c r="A6" s="217" t="s">
        <v>257</v>
      </c>
      <c r="B6" s="218"/>
      <c r="C6" s="158">
        <f>SUM(C7:C9)</f>
        <v>88</v>
      </c>
      <c r="D6" s="62">
        <f>SUM(D7:D9)</f>
        <v>468</v>
      </c>
      <c r="E6" s="63">
        <f>SUM(E7:E9)</f>
        <v>556</v>
      </c>
      <c r="F6" s="46">
        <f>E26</f>
        <v>486</v>
      </c>
      <c r="G6" s="64" t="str">
        <f>A26</f>
        <v>Noobel</v>
      </c>
      <c r="H6" s="62">
        <f>SUM(H7:H9)</f>
        <v>495</v>
      </c>
      <c r="I6" s="49">
        <f>SUM(I7:I9)</f>
        <v>583</v>
      </c>
      <c r="J6" s="49">
        <f>I22</f>
        <v>565</v>
      </c>
      <c r="K6" s="42" t="str">
        <f>A22</f>
        <v>LINNAKING</v>
      </c>
      <c r="L6" s="58">
        <f>SUM(L7:L9)</f>
        <v>461</v>
      </c>
      <c r="M6" s="45">
        <f>SUM(M7:M9)</f>
        <v>549</v>
      </c>
      <c r="N6" s="45">
        <f>M18</f>
        <v>523</v>
      </c>
      <c r="O6" s="42" t="str">
        <f>A18</f>
        <v>KLG Viru</v>
      </c>
      <c r="P6" s="45">
        <f>SUM(P7:P9)</f>
        <v>456</v>
      </c>
      <c r="Q6" s="45">
        <f>SUM(Q7:Q9)</f>
        <v>544</v>
      </c>
      <c r="R6" s="45">
        <f>Q14</f>
        <v>629</v>
      </c>
      <c r="S6" s="42" t="str">
        <f>A14</f>
        <v>Latestoil</v>
      </c>
      <c r="T6" s="133">
        <f>SUM(T7:T9)</f>
        <v>475</v>
      </c>
      <c r="U6" s="45">
        <f>SUM(U7:U9)</f>
        <v>563</v>
      </c>
      <c r="V6" s="45">
        <f>U10</f>
        <v>572</v>
      </c>
      <c r="W6" s="42" t="str">
        <f>A10</f>
        <v>Meistrid&amp; Margarita</v>
      </c>
      <c r="X6" s="36">
        <f aca="true" t="shared" si="0" ref="X6:X29">E6+I6+M6+Q6+U6</f>
        <v>2795</v>
      </c>
      <c r="Y6" s="105">
        <f>SUM(Y7:Y9)</f>
        <v>2355</v>
      </c>
      <c r="Z6" s="37">
        <f>AVERAGE(Z7,Z8,Z9)</f>
        <v>186.33333333333334</v>
      </c>
      <c r="AA6" s="65">
        <f>AVERAGE(AA7,AA8,AA9)</f>
        <v>157.00000000000003</v>
      </c>
      <c r="AB6" s="219">
        <f>F7+J7+N7+R7+V7</f>
        <v>3</v>
      </c>
    </row>
    <row r="7" spans="1:28" s="38" customFormat="1" ht="15.75" customHeight="1">
      <c r="A7" s="222" t="s">
        <v>246</v>
      </c>
      <c r="B7" s="223"/>
      <c r="C7" s="159">
        <v>14</v>
      </c>
      <c r="D7" s="59">
        <v>169</v>
      </c>
      <c r="E7" s="50">
        <f>D7+C7</f>
        <v>183</v>
      </c>
      <c r="F7" s="224">
        <v>1</v>
      </c>
      <c r="G7" s="225"/>
      <c r="H7" s="97">
        <v>179</v>
      </c>
      <c r="I7" s="46">
        <f>H7+C7</f>
        <v>193</v>
      </c>
      <c r="J7" s="224">
        <v>1</v>
      </c>
      <c r="K7" s="225"/>
      <c r="L7" s="97">
        <v>148</v>
      </c>
      <c r="M7" s="50">
        <f>L7+C7</f>
        <v>162</v>
      </c>
      <c r="N7" s="224">
        <v>1</v>
      </c>
      <c r="O7" s="225"/>
      <c r="P7" s="97">
        <v>136</v>
      </c>
      <c r="Q7" s="50">
        <f>P7+C7</f>
        <v>150</v>
      </c>
      <c r="R7" s="224">
        <v>0</v>
      </c>
      <c r="S7" s="225"/>
      <c r="T7" s="97">
        <v>147</v>
      </c>
      <c r="U7" s="50">
        <f>T7+C7</f>
        <v>161</v>
      </c>
      <c r="V7" s="224">
        <v>0</v>
      </c>
      <c r="W7" s="225"/>
      <c r="X7" s="46">
        <f t="shared" si="0"/>
        <v>849</v>
      </c>
      <c r="Y7" s="106">
        <f>D7+H7+L7+P7+T7</f>
        <v>779</v>
      </c>
      <c r="Z7" s="67">
        <f>AVERAGE(E7,I7,M7,Q7,U7)</f>
        <v>169.8</v>
      </c>
      <c r="AA7" s="67">
        <f>AVERAGE(E7,I7,M7,Q7,U7)-C7</f>
        <v>155.8</v>
      </c>
      <c r="AB7" s="220"/>
    </row>
    <row r="8" spans="1:28" s="38" customFormat="1" ht="15.75" customHeight="1">
      <c r="A8" s="222" t="s">
        <v>247</v>
      </c>
      <c r="B8" s="223"/>
      <c r="C8" s="159">
        <v>49</v>
      </c>
      <c r="D8" s="59">
        <v>130</v>
      </c>
      <c r="E8" s="50">
        <f>D8+C8</f>
        <v>179</v>
      </c>
      <c r="F8" s="226"/>
      <c r="G8" s="227"/>
      <c r="H8" s="98">
        <v>126</v>
      </c>
      <c r="I8" s="46">
        <f>H8+C8</f>
        <v>175</v>
      </c>
      <c r="J8" s="226"/>
      <c r="K8" s="227"/>
      <c r="L8" s="98">
        <v>168</v>
      </c>
      <c r="M8" s="50">
        <f>L8+C8</f>
        <v>217</v>
      </c>
      <c r="N8" s="226"/>
      <c r="O8" s="227"/>
      <c r="P8" s="98">
        <v>127</v>
      </c>
      <c r="Q8" s="50">
        <f>P8+C8</f>
        <v>176</v>
      </c>
      <c r="R8" s="226"/>
      <c r="S8" s="227"/>
      <c r="T8" s="98">
        <v>181</v>
      </c>
      <c r="U8" s="50">
        <f>T8+C8</f>
        <v>230</v>
      </c>
      <c r="V8" s="226"/>
      <c r="W8" s="227"/>
      <c r="X8" s="46">
        <f t="shared" si="0"/>
        <v>977</v>
      </c>
      <c r="Y8" s="106">
        <f>D8+H8+L8+P8+T8</f>
        <v>732</v>
      </c>
      <c r="Z8" s="67">
        <f>AVERAGE(E8,I8,M8,Q8,U8)</f>
        <v>195.4</v>
      </c>
      <c r="AA8" s="67">
        <f>AVERAGE(E8,I8,M8,Q8,U8)-C8</f>
        <v>146.4</v>
      </c>
      <c r="AB8" s="220"/>
    </row>
    <row r="9" spans="1:28" s="38" customFormat="1" ht="16.5" customHeight="1" thickBot="1">
      <c r="A9" s="229" t="s">
        <v>248</v>
      </c>
      <c r="B9" s="230"/>
      <c r="C9" s="160">
        <v>25</v>
      </c>
      <c r="D9" s="60">
        <v>169</v>
      </c>
      <c r="E9" s="51">
        <f>D9+C9</f>
        <v>194</v>
      </c>
      <c r="F9" s="204"/>
      <c r="G9" s="228"/>
      <c r="H9" s="99">
        <v>190</v>
      </c>
      <c r="I9" s="47">
        <f>H9+C9</f>
        <v>215</v>
      </c>
      <c r="J9" s="204"/>
      <c r="K9" s="228"/>
      <c r="L9" s="99">
        <v>145</v>
      </c>
      <c r="M9" s="51">
        <f>L9+C9</f>
        <v>170</v>
      </c>
      <c r="N9" s="204"/>
      <c r="O9" s="228"/>
      <c r="P9" s="99">
        <v>193</v>
      </c>
      <c r="Q9" s="51">
        <f>P9+C9</f>
        <v>218</v>
      </c>
      <c r="R9" s="204"/>
      <c r="S9" s="228"/>
      <c r="T9" s="99">
        <v>147</v>
      </c>
      <c r="U9" s="51">
        <f>T9+C9</f>
        <v>172</v>
      </c>
      <c r="V9" s="204"/>
      <c r="W9" s="228"/>
      <c r="X9" s="47">
        <f t="shared" si="0"/>
        <v>969</v>
      </c>
      <c r="Y9" s="107">
        <f>D9+H9+L9+P9+T9</f>
        <v>844</v>
      </c>
      <c r="Z9" s="68">
        <f>AVERAGE(E9,I9,M9,Q9,U9)</f>
        <v>193.8</v>
      </c>
      <c r="AA9" s="68">
        <f>AVERAGE(E9,I9,M9,Q9,U9)-C9</f>
        <v>168.8</v>
      </c>
      <c r="AB9" s="221"/>
    </row>
    <row r="10" spans="1:28" s="38" customFormat="1" ht="41.25" customHeight="1">
      <c r="A10" s="217" t="s">
        <v>79</v>
      </c>
      <c r="B10" s="218"/>
      <c r="C10" s="158">
        <f>SUM(C11:C13)</f>
        <v>48</v>
      </c>
      <c r="D10" s="62">
        <f>SUM(D11:D13)</f>
        <v>508</v>
      </c>
      <c r="E10" s="45">
        <f>SUM(E11:E13)</f>
        <v>556</v>
      </c>
      <c r="F10" s="45">
        <f>E22</f>
        <v>529</v>
      </c>
      <c r="G10" s="42" t="str">
        <f>A22</f>
        <v>LINNAKING</v>
      </c>
      <c r="H10" s="62">
        <f>SUM(H11:H13)</f>
        <v>494</v>
      </c>
      <c r="I10" s="45">
        <f>SUM(I11:I13)</f>
        <v>542</v>
      </c>
      <c r="J10" s="45">
        <f>I18</f>
        <v>537</v>
      </c>
      <c r="K10" s="42" t="str">
        <f>A18</f>
        <v>KLG Viru</v>
      </c>
      <c r="L10" s="133">
        <f>SUM(L11:L13)</f>
        <v>441</v>
      </c>
      <c r="M10" s="49">
        <f>SUM(M11:M13)</f>
        <v>489</v>
      </c>
      <c r="N10" s="45">
        <f>M14</f>
        <v>580</v>
      </c>
      <c r="O10" s="42" t="str">
        <f>A14</f>
        <v>Latestoil</v>
      </c>
      <c r="P10" s="45">
        <f>SUM(P11:P13)</f>
        <v>509</v>
      </c>
      <c r="Q10" s="49">
        <f>SUM(Q11:Q13)</f>
        <v>557</v>
      </c>
      <c r="R10" s="45">
        <f>Q26</f>
        <v>531</v>
      </c>
      <c r="S10" s="42" t="str">
        <f>A26</f>
        <v>Noobel</v>
      </c>
      <c r="T10" s="133">
        <f>SUM(T11:T13)</f>
        <v>524</v>
      </c>
      <c r="U10" s="49">
        <f>SUM(U11:U13)</f>
        <v>572</v>
      </c>
      <c r="V10" s="45">
        <f>U6</f>
        <v>563</v>
      </c>
      <c r="W10" s="42" t="str">
        <f>A6</f>
        <v>Telfer Grupp</v>
      </c>
      <c r="X10" s="36">
        <f t="shared" si="0"/>
        <v>2716</v>
      </c>
      <c r="Y10" s="105">
        <f>SUM(Y11:Y13)</f>
        <v>2476</v>
      </c>
      <c r="Z10" s="65">
        <f>AVERAGE(Z11,Z12,Z13)</f>
        <v>181.0666666666667</v>
      </c>
      <c r="AA10" s="65">
        <f>AVERAGE(AA11,AA12,AA13)</f>
        <v>165.06666666666666</v>
      </c>
      <c r="AB10" s="219">
        <f>F11+J11+N11+R11+V11</f>
        <v>4</v>
      </c>
    </row>
    <row r="11" spans="1:28" s="38" customFormat="1" ht="15.75" customHeight="1">
      <c r="A11" s="222" t="s">
        <v>87</v>
      </c>
      <c r="B11" s="223"/>
      <c r="C11" s="159">
        <v>23</v>
      </c>
      <c r="D11" s="59">
        <v>176</v>
      </c>
      <c r="E11" s="50">
        <f>D11+C11</f>
        <v>199</v>
      </c>
      <c r="F11" s="224">
        <v>1</v>
      </c>
      <c r="G11" s="225"/>
      <c r="H11" s="97">
        <v>180</v>
      </c>
      <c r="I11" s="46">
        <f>H11+C11</f>
        <v>203</v>
      </c>
      <c r="J11" s="224">
        <v>1</v>
      </c>
      <c r="K11" s="225"/>
      <c r="L11" s="97">
        <v>145</v>
      </c>
      <c r="M11" s="50">
        <f>L11+C11</f>
        <v>168</v>
      </c>
      <c r="N11" s="224">
        <v>0</v>
      </c>
      <c r="O11" s="225"/>
      <c r="P11" s="97">
        <v>151</v>
      </c>
      <c r="Q11" s="50">
        <f>P11+C11</f>
        <v>174</v>
      </c>
      <c r="R11" s="224">
        <v>1</v>
      </c>
      <c r="S11" s="225"/>
      <c r="T11" s="97">
        <v>184</v>
      </c>
      <c r="U11" s="50">
        <f>T11+C11</f>
        <v>207</v>
      </c>
      <c r="V11" s="224">
        <v>1</v>
      </c>
      <c r="W11" s="225"/>
      <c r="X11" s="46">
        <f t="shared" si="0"/>
        <v>951</v>
      </c>
      <c r="Y11" s="106">
        <f>D11+H11+L11+P11+T11</f>
        <v>836</v>
      </c>
      <c r="Z11" s="67">
        <f>AVERAGE(E11,I11,M11,Q11,U11)</f>
        <v>190.2</v>
      </c>
      <c r="AA11" s="67">
        <f>AVERAGE(E11,I11,M11,Q11,U11)-C11</f>
        <v>167.2</v>
      </c>
      <c r="AB11" s="220"/>
    </row>
    <row r="12" spans="1:28" s="38" customFormat="1" ht="15.75" customHeight="1">
      <c r="A12" s="222" t="s">
        <v>293</v>
      </c>
      <c r="B12" s="223"/>
      <c r="C12" s="159">
        <v>16</v>
      </c>
      <c r="D12" s="59">
        <v>177</v>
      </c>
      <c r="E12" s="50">
        <f>D12+C12</f>
        <v>193</v>
      </c>
      <c r="F12" s="226"/>
      <c r="G12" s="227"/>
      <c r="H12" s="98">
        <v>167</v>
      </c>
      <c r="I12" s="46">
        <f>H12+C12</f>
        <v>183</v>
      </c>
      <c r="J12" s="226"/>
      <c r="K12" s="227"/>
      <c r="L12" s="98">
        <v>141</v>
      </c>
      <c r="M12" s="50">
        <f>L12+C12</f>
        <v>157</v>
      </c>
      <c r="N12" s="226"/>
      <c r="O12" s="227"/>
      <c r="P12" s="98">
        <v>156</v>
      </c>
      <c r="Q12" s="50">
        <f>P12+C12</f>
        <v>172</v>
      </c>
      <c r="R12" s="226"/>
      <c r="S12" s="227"/>
      <c r="T12" s="98">
        <v>183</v>
      </c>
      <c r="U12" s="50">
        <f>T12+C12</f>
        <v>199</v>
      </c>
      <c r="V12" s="226"/>
      <c r="W12" s="227"/>
      <c r="X12" s="46">
        <f t="shared" si="0"/>
        <v>904</v>
      </c>
      <c r="Y12" s="106">
        <f>D12+H12+L12+P12+T12</f>
        <v>824</v>
      </c>
      <c r="Z12" s="67">
        <f>AVERAGE(E12,I12,M12,Q12,U12)</f>
        <v>180.8</v>
      </c>
      <c r="AA12" s="67">
        <f>AVERAGE(E12,I12,M12,Q12,U12)-C12</f>
        <v>164.8</v>
      </c>
      <c r="AB12" s="220"/>
    </row>
    <row r="13" spans="1:28" s="38" customFormat="1" ht="15.75" customHeight="1" thickBot="1">
      <c r="A13" s="229" t="s">
        <v>89</v>
      </c>
      <c r="B13" s="230"/>
      <c r="C13" s="160">
        <v>9</v>
      </c>
      <c r="D13" s="60">
        <v>155</v>
      </c>
      <c r="E13" s="51">
        <f>D13+C13</f>
        <v>164</v>
      </c>
      <c r="F13" s="204"/>
      <c r="G13" s="228"/>
      <c r="H13" s="99">
        <v>147</v>
      </c>
      <c r="I13" s="47">
        <f>H13+C13</f>
        <v>156</v>
      </c>
      <c r="J13" s="204"/>
      <c r="K13" s="228"/>
      <c r="L13" s="99">
        <v>155</v>
      </c>
      <c r="M13" s="51">
        <f>L13+C13</f>
        <v>164</v>
      </c>
      <c r="N13" s="204"/>
      <c r="O13" s="228"/>
      <c r="P13" s="99">
        <v>202</v>
      </c>
      <c r="Q13" s="51">
        <f>P13+C13</f>
        <v>211</v>
      </c>
      <c r="R13" s="204"/>
      <c r="S13" s="228"/>
      <c r="T13" s="99">
        <v>157</v>
      </c>
      <c r="U13" s="51">
        <f>T13+C13</f>
        <v>166</v>
      </c>
      <c r="V13" s="204"/>
      <c r="W13" s="228"/>
      <c r="X13" s="47">
        <f t="shared" si="0"/>
        <v>861</v>
      </c>
      <c r="Y13" s="107">
        <f>D13+H13+L13+P13+T13</f>
        <v>816</v>
      </c>
      <c r="Z13" s="68">
        <f>AVERAGE(E13,I13,M13,Q13,U13)</f>
        <v>172.2</v>
      </c>
      <c r="AA13" s="68">
        <f>AVERAGE(E13,I13,M13,Q13,U13)-C13</f>
        <v>163.2</v>
      </c>
      <c r="AB13" s="221"/>
    </row>
    <row r="14" spans="1:28" s="38" customFormat="1" ht="47.25" customHeight="1">
      <c r="A14" s="217" t="s">
        <v>69</v>
      </c>
      <c r="B14" s="218"/>
      <c r="C14" s="158">
        <f>SUM(C15:C17)</f>
        <v>43</v>
      </c>
      <c r="D14" s="62">
        <f>SUM(D15:D17)</f>
        <v>506</v>
      </c>
      <c r="E14" s="45">
        <f>SUM(E15:E17)</f>
        <v>549</v>
      </c>
      <c r="F14" s="45">
        <f>E18</f>
        <v>532</v>
      </c>
      <c r="G14" s="42" t="str">
        <f>A18</f>
        <v>KLG Viru</v>
      </c>
      <c r="H14" s="62">
        <f>SUM(H15:H17)</f>
        <v>551</v>
      </c>
      <c r="I14" s="45">
        <f>SUM(I15:I17)</f>
        <v>594</v>
      </c>
      <c r="J14" s="45">
        <f>I26</f>
        <v>527</v>
      </c>
      <c r="K14" s="42" t="str">
        <f>A26</f>
        <v>Noobel</v>
      </c>
      <c r="L14" s="133">
        <f>SUM(L15:L17)</f>
        <v>537</v>
      </c>
      <c r="M14" s="69">
        <f>SUM(M15:M17)</f>
        <v>580</v>
      </c>
      <c r="N14" s="45">
        <f>M10</f>
        <v>489</v>
      </c>
      <c r="O14" s="42" t="str">
        <f>A10</f>
        <v>Meistrid&amp; Margarita</v>
      </c>
      <c r="P14" s="45">
        <f>SUM(P15:P17)</f>
        <v>586</v>
      </c>
      <c r="Q14" s="49">
        <f>SUM(Q15:Q17)</f>
        <v>629</v>
      </c>
      <c r="R14" s="45">
        <f>Q6</f>
        <v>544</v>
      </c>
      <c r="S14" s="42" t="str">
        <f>A6</f>
        <v>Telfer Grupp</v>
      </c>
      <c r="T14" s="133">
        <f>SUM(T15:T17)</f>
        <v>553</v>
      </c>
      <c r="U14" s="69">
        <f>SUM(U15:U17)</f>
        <v>596</v>
      </c>
      <c r="V14" s="45">
        <f>U22</f>
        <v>528</v>
      </c>
      <c r="W14" s="42" t="str">
        <f>A22</f>
        <v>LINNAKING</v>
      </c>
      <c r="X14" s="36">
        <f t="shared" si="0"/>
        <v>2948</v>
      </c>
      <c r="Y14" s="105">
        <f>SUM(Y15:Y17)</f>
        <v>2733</v>
      </c>
      <c r="Z14" s="65">
        <f>AVERAGE(Z15,Z16,Z17)</f>
        <v>196.53333333333333</v>
      </c>
      <c r="AA14" s="65">
        <f>AVERAGE(AA15,AA16,AA17)</f>
        <v>182.20000000000002</v>
      </c>
      <c r="AB14" s="219">
        <f>F15+J15+N15+R15+V15</f>
        <v>5</v>
      </c>
    </row>
    <row r="15" spans="1:28" s="38" customFormat="1" ht="15.75" customHeight="1">
      <c r="A15" s="222" t="s">
        <v>27</v>
      </c>
      <c r="B15" s="223"/>
      <c r="C15" s="159">
        <v>20</v>
      </c>
      <c r="D15" s="59">
        <v>185</v>
      </c>
      <c r="E15" s="50">
        <f>D15+C15</f>
        <v>205</v>
      </c>
      <c r="F15" s="224">
        <v>1</v>
      </c>
      <c r="G15" s="225"/>
      <c r="H15" s="97">
        <v>204</v>
      </c>
      <c r="I15" s="46">
        <f>H15+C15</f>
        <v>224</v>
      </c>
      <c r="J15" s="224">
        <v>1</v>
      </c>
      <c r="K15" s="225"/>
      <c r="L15" s="97">
        <v>153</v>
      </c>
      <c r="M15" s="50">
        <f>L15+C15</f>
        <v>173</v>
      </c>
      <c r="N15" s="224">
        <v>1</v>
      </c>
      <c r="O15" s="225"/>
      <c r="P15" s="97">
        <v>182</v>
      </c>
      <c r="Q15" s="50">
        <f>P15+C15</f>
        <v>202</v>
      </c>
      <c r="R15" s="224">
        <v>1</v>
      </c>
      <c r="S15" s="225"/>
      <c r="T15" s="97">
        <v>182</v>
      </c>
      <c r="U15" s="50">
        <f>T15+C15</f>
        <v>202</v>
      </c>
      <c r="V15" s="224">
        <v>1</v>
      </c>
      <c r="W15" s="225"/>
      <c r="X15" s="46">
        <f t="shared" si="0"/>
        <v>1006</v>
      </c>
      <c r="Y15" s="106">
        <f>D15+H15+L15+P15+T15</f>
        <v>906</v>
      </c>
      <c r="Z15" s="67">
        <f>AVERAGE(E15,I15,M15,Q15,U15)</f>
        <v>201.2</v>
      </c>
      <c r="AA15" s="67">
        <f>AVERAGE(E15,I15,M15,Q15,U15)-C15</f>
        <v>181.2</v>
      </c>
      <c r="AB15" s="220"/>
    </row>
    <row r="16" spans="1:28" s="38" customFormat="1" ht="15.75" customHeight="1">
      <c r="A16" s="222" t="s">
        <v>29</v>
      </c>
      <c r="B16" s="223"/>
      <c r="C16" s="159">
        <v>19</v>
      </c>
      <c r="D16" s="59">
        <v>125</v>
      </c>
      <c r="E16" s="50">
        <f>D16+C16</f>
        <v>144</v>
      </c>
      <c r="F16" s="226"/>
      <c r="G16" s="227"/>
      <c r="H16" s="98">
        <v>157</v>
      </c>
      <c r="I16" s="46">
        <f>H16+C16</f>
        <v>176</v>
      </c>
      <c r="J16" s="226"/>
      <c r="K16" s="227"/>
      <c r="L16" s="98">
        <v>172</v>
      </c>
      <c r="M16" s="50">
        <f>L16+C16</f>
        <v>191</v>
      </c>
      <c r="N16" s="226"/>
      <c r="O16" s="227"/>
      <c r="P16" s="98">
        <v>195</v>
      </c>
      <c r="Q16" s="50">
        <f>P16+C16</f>
        <v>214</v>
      </c>
      <c r="R16" s="226"/>
      <c r="S16" s="227"/>
      <c r="T16" s="98">
        <v>178</v>
      </c>
      <c r="U16" s="50">
        <f>T16+C16</f>
        <v>197</v>
      </c>
      <c r="V16" s="226"/>
      <c r="W16" s="227"/>
      <c r="X16" s="46">
        <f t="shared" si="0"/>
        <v>922</v>
      </c>
      <c r="Y16" s="106">
        <f>D16+H16+L16+P16+T16</f>
        <v>827</v>
      </c>
      <c r="Z16" s="67">
        <f>AVERAGE(E16,I16,M16,Q16,U16)</f>
        <v>184.4</v>
      </c>
      <c r="AA16" s="67">
        <f>AVERAGE(E16,I16,M16,Q16,U16)-C16</f>
        <v>165.4</v>
      </c>
      <c r="AB16" s="220"/>
    </row>
    <row r="17" spans="1:28" s="38" customFormat="1" ht="15.75" customHeight="1" thickBot="1">
      <c r="A17" s="229" t="s">
        <v>26</v>
      </c>
      <c r="B17" s="230"/>
      <c r="C17" s="160">
        <v>4</v>
      </c>
      <c r="D17" s="60">
        <v>196</v>
      </c>
      <c r="E17" s="51">
        <f>D17+C17</f>
        <v>200</v>
      </c>
      <c r="F17" s="204"/>
      <c r="G17" s="228"/>
      <c r="H17" s="99">
        <v>190</v>
      </c>
      <c r="I17" s="47">
        <f>H17+C17</f>
        <v>194</v>
      </c>
      <c r="J17" s="204"/>
      <c r="K17" s="228"/>
      <c r="L17" s="99">
        <v>212</v>
      </c>
      <c r="M17" s="51">
        <f>L17+C17</f>
        <v>216</v>
      </c>
      <c r="N17" s="204"/>
      <c r="O17" s="228"/>
      <c r="P17" s="99">
        <v>209</v>
      </c>
      <c r="Q17" s="51">
        <f>P17+C17</f>
        <v>213</v>
      </c>
      <c r="R17" s="204"/>
      <c r="S17" s="228"/>
      <c r="T17" s="99">
        <v>193</v>
      </c>
      <c r="U17" s="51">
        <f>T17+C17</f>
        <v>197</v>
      </c>
      <c r="V17" s="204"/>
      <c r="W17" s="228"/>
      <c r="X17" s="47">
        <f t="shared" si="0"/>
        <v>1020</v>
      </c>
      <c r="Y17" s="107">
        <f>D17+H17+L17+P17+T17</f>
        <v>1000</v>
      </c>
      <c r="Z17" s="68">
        <f>AVERAGE(E17,I17,M17,Q17,U17)</f>
        <v>204</v>
      </c>
      <c r="AA17" s="137">
        <f>AVERAGE(E17,I17,M17,Q17,U17)-C17</f>
        <v>200</v>
      </c>
      <c r="AB17" s="221"/>
    </row>
    <row r="18" spans="1:28" s="38" customFormat="1" ht="39" customHeight="1">
      <c r="A18" s="217" t="s">
        <v>100</v>
      </c>
      <c r="B18" s="218"/>
      <c r="C18" s="158">
        <f>SUM(C19:C21)</f>
        <v>96</v>
      </c>
      <c r="D18" s="62">
        <f>SUM(D19:D21)</f>
        <v>436</v>
      </c>
      <c r="E18" s="45">
        <f>SUM(E19:E21)</f>
        <v>532</v>
      </c>
      <c r="F18" s="45">
        <f>E14</f>
        <v>549</v>
      </c>
      <c r="G18" s="42" t="str">
        <f>A14</f>
        <v>Latestoil</v>
      </c>
      <c r="H18" s="62">
        <f>SUM(H19:H21)</f>
        <v>441</v>
      </c>
      <c r="I18" s="45">
        <f>SUM(I19:I21)</f>
        <v>537</v>
      </c>
      <c r="J18" s="45">
        <f>I10</f>
        <v>542</v>
      </c>
      <c r="K18" s="42" t="str">
        <f>A10</f>
        <v>Meistrid&amp; Margarita</v>
      </c>
      <c r="L18" s="133">
        <f>SUM(L19:L21)</f>
        <v>427</v>
      </c>
      <c r="M18" s="49">
        <f>SUM(M19:M21)</f>
        <v>523</v>
      </c>
      <c r="N18" s="45">
        <f>M6</f>
        <v>549</v>
      </c>
      <c r="O18" s="42" t="str">
        <f>A6</f>
        <v>Telfer Grupp</v>
      </c>
      <c r="P18" s="45">
        <f>SUM(P19:P21)</f>
        <v>458</v>
      </c>
      <c r="Q18" s="49">
        <f>SUM(Q19:Q21)</f>
        <v>554</v>
      </c>
      <c r="R18" s="45">
        <f>Q22</f>
        <v>492</v>
      </c>
      <c r="S18" s="42" t="str">
        <f>A22</f>
        <v>LINNAKING</v>
      </c>
      <c r="T18" s="133">
        <f>SUM(T19:T21)</f>
        <v>461</v>
      </c>
      <c r="U18" s="49">
        <f>SUM(U19:U21)</f>
        <v>557</v>
      </c>
      <c r="V18" s="45">
        <f>U26</f>
        <v>564</v>
      </c>
      <c r="W18" s="42" t="str">
        <f>A26</f>
        <v>Noobel</v>
      </c>
      <c r="X18" s="36">
        <f t="shared" si="0"/>
        <v>2703</v>
      </c>
      <c r="Y18" s="105">
        <f>SUM(Y19:Y21)</f>
        <v>2223</v>
      </c>
      <c r="Z18" s="65">
        <f>AVERAGE(Z19,Z20,Z21)</f>
        <v>180.19999999999996</v>
      </c>
      <c r="AA18" s="65">
        <f>AVERAGE(AA19,AA20,AA21)</f>
        <v>148.2</v>
      </c>
      <c r="AB18" s="219">
        <f>F19+J19+N19+R19+V19</f>
        <v>1</v>
      </c>
    </row>
    <row r="19" spans="1:28" s="38" customFormat="1" ht="15.75" customHeight="1">
      <c r="A19" s="222" t="s">
        <v>92</v>
      </c>
      <c r="B19" s="223"/>
      <c r="C19" s="159">
        <v>54</v>
      </c>
      <c r="D19" s="59">
        <v>107</v>
      </c>
      <c r="E19" s="50">
        <f>D19+C19</f>
        <v>161</v>
      </c>
      <c r="F19" s="224">
        <v>0</v>
      </c>
      <c r="G19" s="225"/>
      <c r="H19" s="97">
        <v>101</v>
      </c>
      <c r="I19" s="46">
        <f>H19+C19</f>
        <v>155</v>
      </c>
      <c r="J19" s="224">
        <v>0</v>
      </c>
      <c r="K19" s="225"/>
      <c r="L19" s="97">
        <v>108</v>
      </c>
      <c r="M19" s="50">
        <f>L19+C19</f>
        <v>162</v>
      </c>
      <c r="N19" s="224">
        <v>0</v>
      </c>
      <c r="O19" s="225"/>
      <c r="P19" s="97">
        <v>139</v>
      </c>
      <c r="Q19" s="50">
        <f>P19+C19</f>
        <v>193</v>
      </c>
      <c r="R19" s="224">
        <v>1</v>
      </c>
      <c r="S19" s="225"/>
      <c r="T19" s="97">
        <v>126</v>
      </c>
      <c r="U19" s="50">
        <f>T19+C19</f>
        <v>180</v>
      </c>
      <c r="V19" s="224">
        <v>0</v>
      </c>
      <c r="W19" s="225"/>
      <c r="X19" s="46">
        <f t="shared" si="0"/>
        <v>851</v>
      </c>
      <c r="Y19" s="106">
        <f>D19+H19+L19+P19+T19</f>
        <v>581</v>
      </c>
      <c r="Z19" s="67">
        <f>AVERAGE(E19,I19,M19,Q19,U19)</f>
        <v>170.2</v>
      </c>
      <c r="AA19" s="67">
        <f>AVERAGE(E19,I19,M19,Q19,U19)-C19</f>
        <v>116.19999999999999</v>
      </c>
      <c r="AB19" s="220"/>
    </row>
    <row r="20" spans="1:28" s="38" customFormat="1" ht="15.75" customHeight="1">
      <c r="A20" s="222" t="s">
        <v>93</v>
      </c>
      <c r="B20" s="223"/>
      <c r="C20" s="159">
        <v>19</v>
      </c>
      <c r="D20" s="59">
        <v>172</v>
      </c>
      <c r="E20" s="50">
        <f>D20+C20</f>
        <v>191</v>
      </c>
      <c r="F20" s="226"/>
      <c r="G20" s="227"/>
      <c r="H20" s="98">
        <v>187</v>
      </c>
      <c r="I20" s="46">
        <f>H20+C20</f>
        <v>206</v>
      </c>
      <c r="J20" s="226"/>
      <c r="K20" s="227"/>
      <c r="L20" s="98">
        <v>164</v>
      </c>
      <c r="M20" s="50">
        <f>L20+C20</f>
        <v>183</v>
      </c>
      <c r="N20" s="226"/>
      <c r="O20" s="227"/>
      <c r="P20" s="98">
        <v>179</v>
      </c>
      <c r="Q20" s="50">
        <f>P20+C20</f>
        <v>198</v>
      </c>
      <c r="R20" s="226"/>
      <c r="S20" s="227"/>
      <c r="T20" s="98">
        <v>204</v>
      </c>
      <c r="U20" s="50">
        <f>T20+C20</f>
        <v>223</v>
      </c>
      <c r="V20" s="226"/>
      <c r="W20" s="227"/>
      <c r="X20" s="46">
        <f t="shared" si="0"/>
        <v>1001</v>
      </c>
      <c r="Y20" s="106">
        <f>D20+H20+L20+P20+T20</f>
        <v>906</v>
      </c>
      <c r="Z20" s="67">
        <f>AVERAGE(E20,I20,M20,Q20,U20)</f>
        <v>200.2</v>
      </c>
      <c r="AA20" s="67">
        <f>AVERAGE(E20,I20,M20,Q20,U20)-C20</f>
        <v>181.2</v>
      </c>
      <c r="AB20" s="220"/>
    </row>
    <row r="21" spans="1:29" s="38" customFormat="1" ht="15.75" customHeight="1" thickBot="1">
      <c r="A21" s="229" t="s">
        <v>94</v>
      </c>
      <c r="B21" s="230"/>
      <c r="C21" s="160">
        <v>23</v>
      </c>
      <c r="D21" s="60">
        <v>157</v>
      </c>
      <c r="E21" s="51">
        <f>D21+C21</f>
        <v>180</v>
      </c>
      <c r="F21" s="204"/>
      <c r="G21" s="228"/>
      <c r="H21" s="99">
        <v>153</v>
      </c>
      <c r="I21" s="47">
        <f>H21+C21</f>
        <v>176</v>
      </c>
      <c r="J21" s="204"/>
      <c r="K21" s="228"/>
      <c r="L21" s="99">
        <v>155</v>
      </c>
      <c r="M21" s="51">
        <f>L21+C21</f>
        <v>178</v>
      </c>
      <c r="N21" s="204"/>
      <c r="O21" s="228"/>
      <c r="P21" s="99">
        <v>140</v>
      </c>
      <c r="Q21" s="51">
        <f>P21+C21</f>
        <v>163</v>
      </c>
      <c r="R21" s="204"/>
      <c r="S21" s="228"/>
      <c r="T21" s="99">
        <v>131</v>
      </c>
      <c r="U21" s="51">
        <f>T21+C21</f>
        <v>154</v>
      </c>
      <c r="V21" s="204"/>
      <c r="W21" s="228"/>
      <c r="X21" s="47">
        <f t="shared" si="0"/>
        <v>851</v>
      </c>
      <c r="Y21" s="107">
        <f>D21+H21+L21+P21+T21</f>
        <v>736</v>
      </c>
      <c r="Z21" s="68">
        <f>AVERAGE(E21,I21,M21,Q21,U21)</f>
        <v>170.2</v>
      </c>
      <c r="AA21" s="68">
        <f>AVERAGE(E21,I21,M21,Q21,U21)-C21</f>
        <v>147.2</v>
      </c>
      <c r="AB21" s="221"/>
      <c r="AC21" s="44"/>
    </row>
    <row r="22" spans="1:28" s="38" customFormat="1" ht="40.5" customHeight="1">
      <c r="A22" s="217" t="s">
        <v>135</v>
      </c>
      <c r="B22" s="218"/>
      <c r="C22" s="158">
        <f>SUM(C23:C25)</f>
        <v>138</v>
      </c>
      <c r="D22" s="62">
        <f>SUM(D23:D25)</f>
        <v>391</v>
      </c>
      <c r="E22" s="45">
        <f>SUM(E23:E25)</f>
        <v>529</v>
      </c>
      <c r="F22" s="45">
        <f>E10</f>
        <v>556</v>
      </c>
      <c r="G22" s="42" t="str">
        <f>A10</f>
        <v>Meistrid&amp; Margarita</v>
      </c>
      <c r="H22" s="62">
        <f>SUM(H23:H25)</f>
        <v>427</v>
      </c>
      <c r="I22" s="45">
        <f>SUM(I23:I25)</f>
        <v>565</v>
      </c>
      <c r="J22" s="45">
        <f>I6</f>
        <v>583</v>
      </c>
      <c r="K22" s="42" t="str">
        <f>A6</f>
        <v>Telfer Grupp</v>
      </c>
      <c r="L22" s="133">
        <f>SUM(L23:L25)</f>
        <v>346</v>
      </c>
      <c r="M22" s="69">
        <f>SUM(M23:M25)</f>
        <v>484</v>
      </c>
      <c r="N22" s="45">
        <f>M26</f>
        <v>549</v>
      </c>
      <c r="O22" s="42" t="str">
        <f>A26</f>
        <v>Noobel</v>
      </c>
      <c r="P22" s="45">
        <f>SUM(P23:P25)</f>
        <v>354</v>
      </c>
      <c r="Q22" s="69">
        <f>SUM(Q23:Q25)</f>
        <v>492</v>
      </c>
      <c r="R22" s="45">
        <f>Q18</f>
        <v>554</v>
      </c>
      <c r="S22" s="42" t="str">
        <f>A18</f>
        <v>KLG Viru</v>
      </c>
      <c r="T22" s="133">
        <f>SUM(T23:T25)</f>
        <v>390</v>
      </c>
      <c r="U22" s="69">
        <f>SUM(U23:U25)</f>
        <v>528</v>
      </c>
      <c r="V22" s="45">
        <f>U14</f>
        <v>596</v>
      </c>
      <c r="W22" s="42" t="str">
        <f>A14</f>
        <v>Latestoil</v>
      </c>
      <c r="X22" s="36">
        <f t="shared" si="0"/>
        <v>2598</v>
      </c>
      <c r="Y22" s="105">
        <f>SUM(Y23:Y25)</f>
        <v>1908</v>
      </c>
      <c r="Z22" s="65">
        <f>AVERAGE(Z23,Z24,Z25)</f>
        <v>173.19999999999996</v>
      </c>
      <c r="AA22" s="65">
        <f>AVERAGE(AA23,AA24,AA25)</f>
        <v>127.2</v>
      </c>
      <c r="AB22" s="219">
        <f>F23+J23+N23+R23+V23</f>
        <v>0</v>
      </c>
    </row>
    <row r="23" spans="1:28" s="38" customFormat="1" ht="15.75" customHeight="1">
      <c r="A23" s="222" t="s">
        <v>141</v>
      </c>
      <c r="B23" s="223"/>
      <c r="C23" s="159">
        <v>36</v>
      </c>
      <c r="D23" s="59">
        <v>127</v>
      </c>
      <c r="E23" s="50">
        <f>D23+C23</f>
        <v>163</v>
      </c>
      <c r="F23" s="224">
        <v>0</v>
      </c>
      <c r="G23" s="225"/>
      <c r="H23" s="97">
        <v>150</v>
      </c>
      <c r="I23" s="46">
        <f>H23+C23</f>
        <v>186</v>
      </c>
      <c r="J23" s="224">
        <v>0</v>
      </c>
      <c r="K23" s="225"/>
      <c r="L23" s="97">
        <v>136</v>
      </c>
      <c r="M23" s="50">
        <f>L23+C23</f>
        <v>172</v>
      </c>
      <c r="N23" s="224">
        <v>0</v>
      </c>
      <c r="O23" s="225"/>
      <c r="P23" s="97">
        <v>135</v>
      </c>
      <c r="Q23" s="50">
        <f>P23+C23</f>
        <v>171</v>
      </c>
      <c r="R23" s="224">
        <v>0</v>
      </c>
      <c r="S23" s="225"/>
      <c r="T23" s="97">
        <v>115</v>
      </c>
      <c r="U23" s="50">
        <f>T23+C23</f>
        <v>151</v>
      </c>
      <c r="V23" s="224">
        <v>0</v>
      </c>
      <c r="W23" s="225"/>
      <c r="X23" s="46">
        <f t="shared" si="0"/>
        <v>843</v>
      </c>
      <c r="Y23" s="106">
        <f>D23+H23+L23+P23+T23</f>
        <v>663</v>
      </c>
      <c r="Z23" s="67">
        <f>AVERAGE(E23,I23,M23,Q23,U23)</f>
        <v>168.6</v>
      </c>
      <c r="AA23" s="67">
        <f>AVERAGE(E23,I23,M23,Q23,U23)-C23</f>
        <v>132.6</v>
      </c>
      <c r="AB23" s="220"/>
    </row>
    <row r="24" spans="1:28" s="38" customFormat="1" ht="15.75" customHeight="1">
      <c r="A24" s="222" t="s">
        <v>142</v>
      </c>
      <c r="B24" s="223"/>
      <c r="C24" s="159">
        <v>60</v>
      </c>
      <c r="D24" s="59">
        <v>98</v>
      </c>
      <c r="E24" s="50">
        <f>D24+C24</f>
        <v>158</v>
      </c>
      <c r="F24" s="226"/>
      <c r="G24" s="227"/>
      <c r="H24" s="98">
        <v>112</v>
      </c>
      <c r="I24" s="46">
        <f>H24+C24</f>
        <v>172</v>
      </c>
      <c r="J24" s="226"/>
      <c r="K24" s="227"/>
      <c r="L24" s="98">
        <v>106</v>
      </c>
      <c r="M24" s="50">
        <f>L24+C24</f>
        <v>166</v>
      </c>
      <c r="N24" s="226"/>
      <c r="O24" s="227"/>
      <c r="P24" s="98">
        <v>95</v>
      </c>
      <c r="Q24" s="50">
        <f>P24+C24</f>
        <v>155</v>
      </c>
      <c r="R24" s="226"/>
      <c r="S24" s="227"/>
      <c r="T24" s="98">
        <v>105</v>
      </c>
      <c r="U24" s="50">
        <f>T24+C24</f>
        <v>165</v>
      </c>
      <c r="V24" s="226"/>
      <c r="W24" s="227"/>
      <c r="X24" s="46">
        <f t="shared" si="0"/>
        <v>816</v>
      </c>
      <c r="Y24" s="106">
        <f>D24+H24+L24+P24+T24</f>
        <v>516</v>
      </c>
      <c r="Z24" s="67">
        <f>AVERAGE(E24,I24,M24,Q24,U24)</f>
        <v>163.2</v>
      </c>
      <c r="AA24" s="67">
        <f>AVERAGE(E24,I24,M24,Q24,U24)-C24</f>
        <v>103.19999999999999</v>
      </c>
      <c r="AB24" s="220"/>
    </row>
    <row r="25" spans="1:28" s="38" customFormat="1" ht="15.75" customHeight="1" thickBot="1">
      <c r="A25" s="229" t="s">
        <v>143</v>
      </c>
      <c r="B25" s="230"/>
      <c r="C25" s="160">
        <v>42</v>
      </c>
      <c r="D25" s="60">
        <v>166</v>
      </c>
      <c r="E25" s="51">
        <f>D25+C25</f>
        <v>208</v>
      </c>
      <c r="F25" s="204"/>
      <c r="G25" s="228"/>
      <c r="H25" s="99">
        <v>165</v>
      </c>
      <c r="I25" s="47">
        <f>H25+C25</f>
        <v>207</v>
      </c>
      <c r="J25" s="204"/>
      <c r="K25" s="228"/>
      <c r="L25" s="99">
        <v>104</v>
      </c>
      <c r="M25" s="51">
        <f>L25+C25</f>
        <v>146</v>
      </c>
      <c r="N25" s="204"/>
      <c r="O25" s="228"/>
      <c r="P25" s="99">
        <v>124</v>
      </c>
      <c r="Q25" s="51">
        <f>P25+C25</f>
        <v>166</v>
      </c>
      <c r="R25" s="204"/>
      <c r="S25" s="228"/>
      <c r="T25" s="99">
        <v>170</v>
      </c>
      <c r="U25" s="51">
        <f>T25+C25</f>
        <v>212</v>
      </c>
      <c r="V25" s="204"/>
      <c r="W25" s="228"/>
      <c r="X25" s="47">
        <f t="shared" si="0"/>
        <v>939</v>
      </c>
      <c r="Y25" s="107">
        <f>D25+H25+L25+P25+T25</f>
        <v>729</v>
      </c>
      <c r="Z25" s="68">
        <f>AVERAGE(E25,I25,M25,Q25,U25)</f>
        <v>187.8</v>
      </c>
      <c r="AA25" s="68">
        <f>AVERAGE(E25,I25,M25,Q25,U25)-C25</f>
        <v>145.8</v>
      </c>
      <c r="AB25" s="221"/>
    </row>
    <row r="26" spans="1:28" s="38" customFormat="1" ht="42" customHeight="1">
      <c r="A26" s="217" t="s">
        <v>222</v>
      </c>
      <c r="B26" s="218"/>
      <c r="C26" s="158">
        <f>SUM(C27:C29)</f>
        <v>57</v>
      </c>
      <c r="D26" s="62">
        <f>SUM(D27:D29)</f>
        <v>429</v>
      </c>
      <c r="E26" s="45">
        <f>SUM(E27:E29)</f>
        <v>486</v>
      </c>
      <c r="F26" s="45">
        <f>E6</f>
        <v>556</v>
      </c>
      <c r="G26" s="42" t="str">
        <f>A6</f>
        <v>Telfer Grupp</v>
      </c>
      <c r="H26" s="62">
        <f>SUM(H27:H29)</f>
        <v>470</v>
      </c>
      <c r="I26" s="45">
        <f>SUM(I27:I29)</f>
        <v>527</v>
      </c>
      <c r="J26" s="45">
        <f>I14</f>
        <v>594</v>
      </c>
      <c r="K26" s="42" t="str">
        <f>A14</f>
        <v>Latestoil</v>
      </c>
      <c r="L26" s="133">
        <f>SUM(L27:L29)</f>
        <v>492</v>
      </c>
      <c r="M26" s="49">
        <f>SUM(M27:M29)</f>
        <v>549</v>
      </c>
      <c r="N26" s="45">
        <f>M22</f>
        <v>484</v>
      </c>
      <c r="O26" s="42" t="str">
        <f>A22</f>
        <v>LINNAKING</v>
      </c>
      <c r="P26" s="45">
        <f>SUM(P27:P29)</f>
        <v>474</v>
      </c>
      <c r="Q26" s="49">
        <f>SUM(Q27:Q29)</f>
        <v>531</v>
      </c>
      <c r="R26" s="45">
        <f>Q10</f>
        <v>557</v>
      </c>
      <c r="S26" s="42" t="str">
        <f>A10</f>
        <v>Meistrid&amp; Margarita</v>
      </c>
      <c r="T26" s="133">
        <f>SUM(T27:T29)</f>
        <v>507</v>
      </c>
      <c r="U26" s="49">
        <f>SUM(U27:U29)</f>
        <v>564</v>
      </c>
      <c r="V26" s="45">
        <f>U18</f>
        <v>557</v>
      </c>
      <c r="W26" s="42" t="str">
        <f>A18</f>
        <v>KLG Viru</v>
      </c>
      <c r="X26" s="36">
        <f t="shared" si="0"/>
        <v>2657</v>
      </c>
      <c r="Y26" s="105">
        <f>SUM(Y27:Y29)</f>
        <v>2372</v>
      </c>
      <c r="Z26" s="65">
        <f>AVERAGE(Z27,Z28,Z29)</f>
        <v>177.13333333333335</v>
      </c>
      <c r="AA26" s="65">
        <f>AVERAGE(AA27,AA28,AA29)</f>
        <v>158.13333333333335</v>
      </c>
      <c r="AB26" s="219">
        <f>F27+J27+N27+R27+V27</f>
        <v>2</v>
      </c>
    </row>
    <row r="27" spans="1:28" s="38" customFormat="1" ht="15.75" customHeight="1">
      <c r="A27" s="222" t="s">
        <v>203</v>
      </c>
      <c r="B27" s="223"/>
      <c r="C27" s="159">
        <v>32</v>
      </c>
      <c r="D27" s="59">
        <v>162</v>
      </c>
      <c r="E27" s="50">
        <f>D27+C27</f>
        <v>194</v>
      </c>
      <c r="F27" s="224">
        <v>0</v>
      </c>
      <c r="G27" s="225"/>
      <c r="H27" s="97">
        <v>157</v>
      </c>
      <c r="I27" s="46">
        <f>H27+C27</f>
        <v>189</v>
      </c>
      <c r="J27" s="224">
        <v>0</v>
      </c>
      <c r="K27" s="225"/>
      <c r="L27" s="97">
        <v>146</v>
      </c>
      <c r="M27" s="50">
        <f>L27+C27</f>
        <v>178</v>
      </c>
      <c r="N27" s="224">
        <v>1</v>
      </c>
      <c r="O27" s="225"/>
      <c r="P27" s="97">
        <v>152</v>
      </c>
      <c r="Q27" s="50">
        <f>P27+C27</f>
        <v>184</v>
      </c>
      <c r="R27" s="224">
        <v>0</v>
      </c>
      <c r="S27" s="225"/>
      <c r="T27" s="97">
        <v>191</v>
      </c>
      <c r="U27" s="50">
        <f>T27+C27</f>
        <v>223</v>
      </c>
      <c r="V27" s="224">
        <v>1</v>
      </c>
      <c r="W27" s="225"/>
      <c r="X27" s="46">
        <f t="shared" si="0"/>
        <v>968</v>
      </c>
      <c r="Y27" s="106">
        <f>D27+H27+L27+P27+T27</f>
        <v>808</v>
      </c>
      <c r="Z27" s="67">
        <f>AVERAGE(E27,I27,M27,Q27,U27)</f>
        <v>193.6</v>
      </c>
      <c r="AA27" s="67">
        <f>AVERAGE(E27,I27,M27,Q27,U27)-C27</f>
        <v>161.6</v>
      </c>
      <c r="AB27" s="220"/>
    </row>
    <row r="28" spans="1:28" s="38" customFormat="1" ht="15.75" customHeight="1">
      <c r="A28" s="222" t="s">
        <v>204</v>
      </c>
      <c r="B28" s="223"/>
      <c r="C28" s="159">
        <v>18</v>
      </c>
      <c r="D28" s="59">
        <v>116</v>
      </c>
      <c r="E28" s="50">
        <f>D28+C28</f>
        <v>134</v>
      </c>
      <c r="F28" s="226"/>
      <c r="G28" s="227"/>
      <c r="H28" s="98">
        <v>153</v>
      </c>
      <c r="I28" s="46">
        <f>H28+C28</f>
        <v>171</v>
      </c>
      <c r="J28" s="226"/>
      <c r="K28" s="227"/>
      <c r="L28" s="98">
        <v>183</v>
      </c>
      <c r="M28" s="50">
        <f>L28+C28</f>
        <v>201</v>
      </c>
      <c r="N28" s="226"/>
      <c r="O28" s="227"/>
      <c r="P28" s="98">
        <v>154</v>
      </c>
      <c r="Q28" s="50">
        <f>P28+C28</f>
        <v>172</v>
      </c>
      <c r="R28" s="226"/>
      <c r="S28" s="227"/>
      <c r="T28" s="98">
        <v>149</v>
      </c>
      <c r="U28" s="50">
        <f>T28+C28</f>
        <v>167</v>
      </c>
      <c r="V28" s="226"/>
      <c r="W28" s="227"/>
      <c r="X28" s="46">
        <f t="shared" si="0"/>
        <v>845</v>
      </c>
      <c r="Y28" s="106">
        <f>D28+H28+L28+P28+T28</f>
        <v>755</v>
      </c>
      <c r="Z28" s="67">
        <f>AVERAGE(E28,I28,M28,Q28,U28)</f>
        <v>169</v>
      </c>
      <c r="AA28" s="67">
        <f>AVERAGE(E28,I28,M28,Q28,U28)-C28</f>
        <v>151</v>
      </c>
      <c r="AB28" s="220"/>
    </row>
    <row r="29" spans="1:28" s="38" customFormat="1" ht="15.75" customHeight="1" thickBot="1">
      <c r="A29" s="229" t="s">
        <v>205</v>
      </c>
      <c r="B29" s="230"/>
      <c r="C29" s="160">
        <v>7</v>
      </c>
      <c r="D29" s="60">
        <v>151</v>
      </c>
      <c r="E29" s="51">
        <f>D29+C29</f>
        <v>158</v>
      </c>
      <c r="F29" s="204"/>
      <c r="G29" s="228"/>
      <c r="H29" s="99">
        <v>160</v>
      </c>
      <c r="I29" s="47">
        <f>H29+C29</f>
        <v>167</v>
      </c>
      <c r="J29" s="204"/>
      <c r="K29" s="228"/>
      <c r="L29" s="99">
        <v>163</v>
      </c>
      <c r="M29" s="51">
        <f>L29+C29</f>
        <v>170</v>
      </c>
      <c r="N29" s="204"/>
      <c r="O29" s="228"/>
      <c r="P29" s="99">
        <v>168</v>
      </c>
      <c r="Q29" s="51">
        <f>P29+C29</f>
        <v>175</v>
      </c>
      <c r="R29" s="204"/>
      <c r="S29" s="228"/>
      <c r="T29" s="99">
        <v>167</v>
      </c>
      <c r="U29" s="51">
        <f>T29+C29</f>
        <v>174</v>
      </c>
      <c r="V29" s="204"/>
      <c r="W29" s="228"/>
      <c r="X29" s="47">
        <f t="shared" si="0"/>
        <v>844</v>
      </c>
      <c r="Y29" s="107">
        <f>D29+H29+L29+P29+T29</f>
        <v>809</v>
      </c>
      <c r="Z29" s="68">
        <f>AVERAGE(E29,I29,M29,Q29,U29)</f>
        <v>168.8</v>
      </c>
      <c r="AA29" s="68">
        <f>AVERAGE(E29,I29,M29,Q29,U29)-C29</f>
        <v>161.8</v>
      </c>
      <c r="AB29" s="221"/>
    </row>
    <row r="31" spans="1:28" s="40" customFormat="1" ht="9" customHeight="1">
      <c r="A31" s="233" t="s">
        <v>291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4"/>
      <c r="W31" s="25"/>
      <c r="Y31" s="57"/>
      <c r="Z31" s="41"/>
      <c r="AA31" s="121"/>
      <c r="AB31" s="25"/>
    </row>
    <row r="32" spans="1:28" s="40" customFormat="1" ht="3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4"/>
      <c r="W32" s="25"/>
      <c r="Y32" s="57"/>
      <c r="Z32" s="41"/>
      <c r="AA32" s="121"/>
      <c r="AB32" s="25"/>
    </row>
    <row r="33" spans="1:28" s="40" customFormat="1" ht="18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5"/>
      <c r="W33" s="25"/>
      <c r="Y33" s="57"/>
      <c r="Z33" s="41"/>
      <c r="AA33" s="121"/>
      <c r="AB33" s="25"/>
    </row>
    <row r="34" spans="1:28" s="40" customFormat="1" ht="6" customHeight="1">
      <c r="A34" s="39"/>
      <c r="B34" s="39"/>
      <c r="C34" s="161"/>
      <c r="D34" s="61"/>
      <c r="E34" s="22"/>
      <c r="F34" s="22"/>
      <c r="G34" s="22"/>
      <c r="H34" s="83"/>
      <c r="I34" s="22"/>
      <c r="J34" s="22"/>
      <c r="K34" s="22"/>
      <c r="L34" s="83"/>
      <c r="M34" s="22"/>
      <c r="N34" s="22"/>
      <c r="O34" s="22"/>
      <c r="P34" s="83"/>
      <c r="Q34" s="22"/>
      <c r="R34" s="22"/>
      <c r="S34" s="22"/>
      <c r="T34" s="83"/>
      <c r="U34" s="22"/>
      <c r="V34" s="25"/>
      <c r="W34" s="25"/>
      <c r="Y34" s="57"/>
      <c r="Z34" s="41"/>
      <c r="AA34" s="121"/>
      <c r="AB34" s="25"/>
    </row>
    <row r="35" spans="1:28" s="31" customFormat="1" ht="15.75" customHeight="1">
      <c r="A35" s="209" t="s">
        <v>0</v>
      </c>
      <c r="B35" s="210"/>
      <c r="C35" s="156" t="s">
        <v>39</v>
      </c>
      <c r="D35" s="55"/>
      <c r="E35" s="27" t="s">
        <v>1</v>
      </c>
      <c r="F35" s="211" t="s">
        <v>2</v>
      </c>
      <c r="G35" s="212"/>
      <c r="H35" s="94"/>
      <c r="I35" s="27" t="s">
        <v>3</v>
      </c>
      <c r="J35" s="211" t="s">
        <v>2</v>
      </c>
      <c r="K35" s="212"/>
      <c r="L35" s="94"/>
      <c r="M35" s="27" t="s">
        <v>4</v>
      </c>
      <c r="N35" s="211" t="s">
        <v>2</v>
      </c>
      <c r="O35" s="212"/>
      <c r="P35" s="94"/>
      <c r="Q35" s="27" t="s">
        <v>5</v>
      </c>
      <c r="R35" s="211" t="s">
        <v>2</v>
      </c>
      <c r="S35" s="212"/>
      <c r="T35" s="94"/>
      <c r="U35" s="27" t="s">
        <v>6</v>
      </c>
      <c r="V35" s="211" t="s">
        <v>2</v>
      </c>
      <c r="W35" s="212"/>
      <c r="X35" s="28" t="s">
        <v>7</v>
      </c>
      <c r="Y35" s="104"/>
      <c r="Z35" s="29" t="s">
        <v>40</v>
      </c>
      <c r="AA35" s="52" t="s">
        <v>42</v>
      </c>
      <c r="AB35" s="30" t="s">
        <v>7</v>
      </c>
    </row>
    <row r="36" spans="1:28" s="31" customFormat="1" ht="15.75" customHeight="1" thickBot="1">
      <c r="A36" s="213" t="s">
        <v>9</v>
      </c>
      <c r="B36" s="214"/>
      <c r="C36" s="157"/>
      <c r="D36" s="56"/>
      <c r="E36" s="32" t="s">
        <v>10</v>
      </c>
      <c r="F36" s="211" t="s">
        <v>11</v>
      </c>
      <c r="G36" s="212"/>
      <c r="H36" s="95"/>
      <c r="I36" s="32" t="s">
        <v>10</v>
      </c>
      <c r="J36" s="215" t="s">
        <v>11</v>
      </c>
      <c r="K36" s="216"/>
      <c r="L36" s="95"/>
      <c r="M36" s="32" t="s">
        <v>10</v>
      </c>
      <c r="N36" s="215" t="s">
        <v>11</v>
      </c>
      <c r="O36" s="216"/>
      <c r="P36" s="95"/>
      <c r="Q36" s="32" t="s">
        <v>10</v>
      </c>
      <c r="R36" s="215" t="s">
        <v>11</v>
      </c>
      <c r="S36" s="216"/>
      <c r="T36" s="95"/>
      <c r="U36" s="32" t="s">
        <v>10</v>
      </c>
      <c r="V36" s="215" t="s">
        <v>11</v>
      </c>
      <c r="W36" s="216"/>
      <c r="X36" s="33" t="s">
        <v>10</v>
      </c>
      <c r="Y36" s="134" t="s">
        <v>287</v>
      </c>
      <c r="Z36" s="34" t="s">
        <v>41</v>
      </c>
      <c r="AA36" s="53" t="s">
        <v>43</v>
      </c>
      <c r="AB36" s="35" t="s">
        <v>12</v>
      </c>
    </row>
    <row r="37" spans="1:28" s="38" customFormat="1" ht="42" customHeight="1">
      <c r="A37" s="217" t="s">
        <v>105</v>
      </c>
      <c r="B37" s="218"/>
      <c r="C37" s="158">
        <f>SUM(C38:C40)</f>
        <v>89</v>
      </c>
      <c r="D37" s="62">
        <f>SUM(D38:D40)</f>
        <v>440</v>
      </c>
      <c r="E37" s="63">
        <f>SUM(E38:E40)</f>
        <v>529</v>
      </c>
      <c r="F37" s="46">
        <f>E57</f>
        <v>496</v>
      </c>
      <c r="G37" s="64" t="str">
        <f>A57</f>
        <v>MP Auto</v>
      </c>
      <c r="H37" s="62">
        <f>SUM(H38:H40)</f>
        <v>487</v>
      </c>
      <c r="I37" s="49">
        <f>SUM(I38:I40)</f>
        <v>576</v>
      </c>
      <c r="J37" s="49">
        <f>I53</f>
        <v>539</v>
      </c>
      <c r="K37" s="42" t="str">
        <f>A53</f>
        <v>Näpi Saeveski</v>
      </c>
      <c r="L37" s="58">
        <f>SUM(L38:L40)</f>
        <v>498</v>
      </c>
      <c r="M37" s="45">
        <f>SUM(M38:M40)</f>
        <v>587</v>
      </c>
      <c r="N37" s="45">
        <f>M49</f>
        <v>546</v>
      </c>
      <c r="O37" s="42" t="str">
        <f>A49</f>
        <v>Isokuul</v>
      </c>
      <c r="P37" s="45">
        <f>SUM(P38:P40)</f>
        <v>445</v>
      </c>
      <c r="Q37" s="45">
        <f>SUM(Q38:Q40)</f>
        <v>534</v>
      </c>
      <c r="R37" s="45">
        <f>Q45</f>
        <v>563</v>
      </c>
      <c r="S37" s="42" t="str">
        <f>A45</f>
        <v>Rakvere Soojus</v>
      </c>
      <c r="T37" s="133">
        <f>SUM(T38:T40)</f>
        <v>485</v>
      </c>
      <c r="U37" s="45">
        <f>SUM(U38:U40)</f>
        <v>574</v>
      </c>
      <c r="V37" s="45">
        <f>U41</f>
        <v>659</v>
      </c>
      <c r="W37" s="42" t="str">
        <f>A41</f>
        <v>Fulltrade</v>
      </c>
      <c r="X37" s="36">
        <f aca="true" t="shared" si="1" ref="X37:X60">E37+I37+M37+Q37+U37</f>
        <v>2800</v>
      </c>
      <c r="Y37" s="105">
        <f>X37-5*C37</f>
        <v>2355</v>
      </c>
      <c r="Z37" s="37">
        <f>AVERAGE(Z38,Z39,Z40)</f>
        <v>186.66666666666666</v>
      </c>
      <c r="AA37" s="65">
        <f>AVERAGE(AA38,AA39,AA40)</f>
        <v>157</v>
      </c>
      <c r="AB37" s="219">
        <f>F38+J38+N38+R38+V38</f>
        <v>3</v>
      </c>
    </row>
    <row r="38" spans="1:28" s="38" customFormat="1" ht="15.75" customHeight="1">
      <c r="A38" s="222" t="s">
        <v>112</v>
      </c>
      <c r="B38" s="223"/>
      <c r="C38" s="159">
        <v>18</v>
      </c>
      <c r="D38" s="59">
        <v>134</v>
      </c>
      <c r="E38" s="50">
        <f>D38+C38</f>
        <v>152</v>
      </c>
      <c r="F38" s="224">
        <v>1</v>
      </c>
      <c r="G38" s="225"/>
      <c r="H38" s="97">
        <v>161</v>
      </c>
      <c r="I38" s="46">
        <f>H38+C38</f>
        <v>179</v>
      </c>
      <c r="J38" s="224">
        <v>1</v>
      </c>
      <c r="K38" s="225"/>
      <c r="L38" s="97">
        <v>170</v>
      </c>
      <c r="M38" s="50">
        <f>L38+C38</f>
        <v>188</v>
      </c>
      <c r="N38" s="224">
        <v>1</v>
      </c>
      <c r="O38" s="225"/>
      <c r="P38" s="97">
        <v>150</v>
      </c>
      <c r="Q38" s="50">
        <f>P38+C38</f>
        <v>168</v>
      </c>
      <c r="R38" s="224">
        <v>0</v>
      </c>
      <c r="S38" s="225"/>
      <c r="T38" s="97">
        <v>123</v>
      </c>
      <c r="U38" s="50">
        <f>T38+C38</f>
        <v>141</v>
      </c>
      <c r="V38" s="224">
        <v>0</v>
      </c>
      <c r="W38" s="225"/>
      <c r="X38" s="46">
        <f t="shared" si="1"/>
        <v>828</v>
      </c>
      <c r="Y38" s="106">
        <f>D38+H38+L38+P38+T38</f>
        <v>738</v>
      </c>
      <c r="Z38" s="67">
        <f>AVERAGE(E38,I38,M38,Q38,U38)</f>
        <v>165.6</v>
      </c>
      <c r="AA38" s="67">
        <f>AVERAGE(E38,I38,M38,Q38,U38)-C38</f>
        <v>147.6</v>
      </c>
      <c r="AB38" s="220"/>
    </row>
    <row r="39" spans="1:28" s="38" customFormat="1" ht="15.75" customHeight="1">
      <c r="A39" s="222" t="s">
        <v>113</v>
      </c>
      <c r="B39" s="223"/>
      <c r="C39" s="159">
        <v>26</v>
      </c>
      <c r="D39" s="59">
        <v>147</v>
      </c>
      <c r="E39" s="50">
        <f>D39+C39</f>
        <v>173</v>
      </c>
      <c r="F39" s="226"/>
      <c r="G39" s="227"/>
      <c r="H39" s="98">
        <v>142</v>
      </c>
      <c r="I39" s="46">
        <f>H39+C39</f>
        <v>168</v>
      </c>
      <c r="J39" s="226"/>
      <c r="K39" s="227"/>
      <c r="L39" s="98">
        <v>156</v>
      </c>
      <c r="M39" s="50">
        <f>L39+C39</f>
        <v>182</v>
      </c>
      <c r="N39" s="226"/>
      <c r="O39" s="227"/>
      <c r="P39" s="98">
        <v>139</v>
      </c>
      <c r="Q39" s="50">
        <f>P39+C39</f>
        <v>165</v>
      </c>
      <c r="R39" s="226"/>
      <c r="S39" s="227"/>
      <c r="T39" s="98">
        <v>155</v>
      </c>
      <c r="U39" s="50">
        <f>T39+C39</f>
        <v>181</v>
      </c>
      <c r="V39" s="226"/>
      <c r="W39" s="227"/>
      <c r="X39" s="46">
        <f t="shared" si="1"/>
        <v>869</v>
      </c>
      <c r="Y39" s="106">
        <f>D39+H39+L39+P39+T39</f>
        <v>739</v>
      </c>
      <c r="Z39" s="67">
        <f>AVERAGE(E39,I39,M39,Q39,U39)</f>
        <v>173.8</v>
      </c>
      <c r="AA39" s="67">
        <f>AVERAGE(E39,I39,M39,Q39,U39)-C39</f>
        <v>147.8</v>
      </c>
      <c r="AB39" s="220"/>
    </row>
    <row r="40" spans="1:28" s="38" customFormat="1" ht="16.5" customHeight="1" thickBot="1">
      <c r="A40" s="229" t="s">
        <v>114</v>
      </c>
      <c r="B40" s="230"/>
      <c r="C40" s="160">
        <v>45</v>
      </c>
      <c r="D40" s="60">
        <v>159</v>
      </c>
      <c r="E40" s="50">
        <f>D40+C40</f>
        <v>204</v>
      </c>
      <c r="F40" s="204"/>
      <c r="G40" s="228"/>
      <c r="H40" s="99">
        <v>184</v>
      </c>
      <c r="I40" s="46">
        <f>H40+C40</f>
        <v>229</v>
      </c>
      <c r="J40" s="204"/>
      <c r="K40" s="228"/>
      <c r="L40" s="99">
        <v>172</v>
      </c>
      <c r="M40" s="50">
        <f>L40+C40</f>
        <v>217</v>
      </c>
      <c r="N40" s="204"/>
      <c r="O40" s="228"/>
      <c r="P40" s="99">
        <v>156</v>
      </c>
      <c r="Q40" s="50">
        <f>P40+C40</f>
        <v>201</v>
      </c>
      <c r="R40" s="204"/>
      <c r="S40" s="228"/>
      <c r="T40" s="99">
        <v>207</v>
      </c>
      <c r="U40" s="50">
        <f>T40+C40</f>
        <v>252</v>
      </c>
      <c r="V40" s="204"/>
      <c r="W40" s="228"/>
      <c r="X40" s="47">
        <f t="shared" si="1"/>
        <v>1103</v>
      </c>
      <c r="Y40" s="107">
        <f>D40+H40+L40+P40+T40</f>
        <v>878</v>
      </c>
      <c r="Z40" s="68">
        <f>AVERAGE(E40,I40,M40,Q40,U40)</f>
        <v>220.6</v>
      </c>
      <c r="AA40" s="68">
        <f>AVERAGE(E40,I40,M40,Q40,U40)-C40</f>
        <v>175.6</v>
      </c>
      <c r="AB40" s="221"/>
    </row>
    <row r="41" spans="1:28" s="38" customFormat="1" ht="41.25" customHeight="1">
      <c r="A41" s="217" t="s">
        <v>66</v>
      </c>
      <c r="B41" s="218"/>
      <c r="C41" s="158">
        <f>SUM(C42:C44)</f>
        <v>97</v>
      </c>
      <c r="D41" s="62">
        <f>SUM(D42:D44)</f>
        <v>443</v>
      </c>
      <c r="E41" s="45">
        <f>SUM(E42:E44)</f>
        <v>540</v>
      </c>
      <c r="F41" s="45">
        <f>E53</f>
        <v>467</v>
      </c>
      <c r="G41" s="42" t="str">
        <f>A53</f>
        <v>Näpi Saeveski</v>
      </c>
      <c r="H41" s="62">
        <f>SUM(H42:H44)</f>
        <v>547</v>
      </c>
      <c r="I41" s="45">
        <f>SUM(I42:I44)</f>
        <v>644</v>
      </c>
      <c r="J41" s="45">
        <f>I49</f>
        <v>543</v>
      </c>
      <c r="K41" s="42" t="str">
        <f>A49</f>
        <v>Isokuul</v>
      </c>
      <c r="L41" s="133">
        <f>SUM(L42:L44)</f>
        <v>463</v>
      </c>
      <c r="M41" s="49">
        <f>SUM(M42:M44)</f>
        <v>560</v>
      </c>
      <c r="N41" s="45">
        <f>M45</f>
        <v>504</v>
      </c>
      <c r="O41" s="42" t="str">
        <f>A45</f>
        <v>Rakvere Soojus</v>
      </c>
      <c r="P41" s="45">
        <f>SUM(P42:P44)</f>
        <v>501</v>
      </c>
      <c r="Q41" s="49">
        <f>SUM(Q42:Q44)</f>
        <v>598</v>
      </c>
      <c r="R41" s="45">
        <f>Q57</f>
        <v>513</v>
      </c>
      <c r="S41" s="42" t="str">
        <f>A57</f>
        <v>MP Auto</v>
      </c>
      <c r="T41" s="133">
        <f>SUM(T42:T44)</f>
        <v>562</v>
      </c>
      <c r="U41" s="49">
        <f>SUM(U42:U44)</f>
        <v>659</v>
      </c>
      <c r="V41" s="45">
        <f>U37</f>
        <v>574</v>
      </c>
      <c r="W41" s="42" t="str">
        <f>A37</f>
        <v>VERX</v>
      </c>
      <c r="X41" s="136">
        <f t="shared" si="1"/>
        <v>3001</v>
      </c>
      <c r="Y41" s="105">
        <f>X41-5*C41</f>
        <v>2516</v>
      </c>
      <c r="Z41" s="135">
        <f>AVERAGE(Z42,Z43,Z44)</f>
        <v>200.0666666666667</v>
      </c>
      <c r="AA41" s="65">
        <f>AVERAGE(AA42,AA43,AA44)</f>
        <v>167.73333333333332</v>
      </c>
      <c r="AB41" s="219">
        <f>F42+J42+N42+R42+V42</f>
        <v>5</v>
      </c>
    </row>
    <row r="42" spans="1:28" s="38" customFormat="1" ht="15.75" customHeight="1">
      <c r="A42" s="222" t="s">
        <v>50</v>
      </c>
      <c r="B42" s="223"/>
      <c r="C42" s="159">
        <v>15</v>
      </c>
      <c r="D42" s="59">
        <v>141</v>
      </c>
      <c r="E42" s="50">
        <f>D42+C42</f>
        <v>156</v>
      </c>
      <c r="F42" s="224">
        <v>1</v>
      </c>
      <c r="G42" s="225"/>
      <c r="H42" s="97">
        <v>176</v>
      </c>
      <c r="I42" s="46">
        <f>H42+C42</f>
        <v>191</v>
      </c>
      <c r="J42" s="224">
        <v>1</v>
      </c>
      <c r="K42" s="225"/>
      <c r="L42" s="97">
        <v>178</v>
      </c>
      <c r="M42" s="50">
        <f>L42+C42</f>
        <v>193</v>
      </c>
      <c r="N42" s="224">
        <v>1</v>
      </c>
      <c r="O42" s="225"/>
      <c r="P42" s="97">
        <v>151</v>
      </c>
      <c r="Q42" s="50">
        <f>P42+C42</f>
        <v>166</v>
      </c>
      <c r="R42" s="224">
        <v>1</v>
      </c>
      <c r="S42" s="225"/>
      <c r="T42" s="97">
        <v>164</v>
      </c>
      <c r="U42" s="50">
        <f>T42+C42</f>
        <v>179</v>
      </c>
      <c r="V42" s="224">
        <v>1</v>
      </c>
      <c r="W42" s="225"/>
      <c r="X42" s="46">
        <f t="shared" si="1"/>
        <v>885</v>
      </c>
      <c r="Y42" s="106">
        <f>D42+H42+L42+P42+T42</f>
        <v>810</v>
      </c>
      <c r="Z42" s="67">
        <f>AVERAGE(E42,I42,M42,Q42,U42)</f>
        <v>177</v>
      </c>
      <c r="AA42" s="67">
        <f>AVERAGE(E42,I42,M42,Q42,U42)-C42</f>
        <v>162</v>
      </c>
      <c r="AB42" s="220"/>
    </row>
    <row r="43" spans="1:28" s="38" customFormat="1" ht="15.75" customHeight="1">
      <c r="A43" s="222" t="s">
        <v>51</v>
      </c>
      <c r="B43" s="223"/>
      <c r="C43" s="159">
        <v>41</v>
      </c>
      <c r="D43" s="59">
        <v>127</v>
      </c>
      <c r="E43" s="50">
        <f>D43+C43</f>
        <v>168</v>
      </c>
      <c r="F43" s="226"/>
      <c r="G43" s="227"/>
      <c r="H43" s="98">
        <v>161</v>
      </c>
      <c r="I43" s="46">
        <f>H43+C43</f>
        <v>202</v>
      </c>
      <c r="J43" s="226"/>
      <c r="K43" s="227"/>
      <c r="L43" s="98">
        <v>137</v>
      </c>
      <c r="M43" s="50">
        <f>L43+C43</f>
        <v>178</v>
      </c>
      <c r="N43" s="226"/>
      <c r="O43" s="227"/>
      <c r="P43" s="98">
        <v>151</v>
      </c>
      <c r="Q43" s="50">
        <f>P43+C43</f>
        <v>192</v>
      </c>
      <c r="R43" s="226"/>
      <c r="S43" s="227"/>
      <c r="T43" s="98">
        <v>165</v>
      </c>
      <c r="U43" s="50">
        <f>T43+C43</f>
        <v>206</v>
      </c>
      <c r="V43" s="226"/>
      <c r="W43" s="227"/>
      <c r="X43" s="46">
        <f t="shared" si="1"/>
        <v>946</v>
      </c>
      <c r="Y43" s="106">
        <f>D43+H43+L43+P43+T43</f>
        <v>741</v>
      </c>
      <c r="Z43" s="67">
        <f>AVERAGE(E43,I43,M43,Q43,U43)</f>
        <v>189.2</v>
      </c>
      <c r="AA43" s="67">
        <f>AVERAGE(E43,I43,M43,Q43,U43)-C43</f>
        <v>148.2</v>
      </c>
      <c r="AB43" s="220"/>
    </row>
    <row r="44" spans="1:28" s="38" customFormat="1" ht="15.75" customHeight="1" thickBot="1">
      <c r="A44" s="229" t="s">
        <v>288</v>
      </c>
      <c r="B44" s="230"/>
      <c r="C44" s="160">
        <v>41</v>
      </c>
      <c r="D44" s="60">
        <v>175</v>
      </c>
      <c r="E44" s="50">
        <f>D44+C44</f>
        <v>216</v>
      </c>
      <c r="F44" s="204"/>
      <c r="G44" s="228"/>
      <c r="H44" s="99">
        <v>210</v>
      </c>
      <c r="I44" s="46">
        <f>H44+C44</f>
        <v>251</v>
      </c>
      <c r="J44" s="204"/>
      <c r="K44" s="228"/>
      <c r="L44" s="99">
        <v>148</v>
      </c>
      <c r="M44" s="50">
        <f>L44+C44</f>
        <v>189</v>
      </c>
      <c r="N44" s="204"/>
      <c r="O44" s="228"/>
      <c r="P44" s="99">
        <v>199</v>
      </c>
      <c r="Q44" s="50">
        <f>P44+C44</f>
        <v>240</v>
      </c>
      <c r="R44" s="204"/>
      <c r="S44" s="228"/>
      <c r="T44" s="99">
        <v>233</v>
      </c>
      <c r="U44" s="50">
        <f>T44+C44</f>
        <v>274</v>
      </c>
      <c r="V44" s="204"/>
      <c r="W44" s="228"/>
      <c r="X44" s="47">
        <f t="shared" si="1"/>
        <v>1170</v>
      </c>
      <c r="Y44" s="107">
        <f>D44+H44+L44+P44+T44</f>
        <v>965</v>
      </c>
      <c r="Z44" s="68">
        <f>AVERAGE(E44,I44,M44,Q44,U44)</f>
        <v>234</v>
      </c>
      <c r="AA44" s="68">
        <f>AVERAGE(E44,I44,M44,Q44,U44)-C44</f>
        <v>193</v>
      </c>
      <c r="AB44" s="221"/>
    </row>
    <row r="45" spans="1:28" s="38" customFormat="1" ht="47.25" customHeight="1">
      <c r="A45" s="217" t="s">
        <v>249</v>
      </c>
      <c r="B45" s="218"/>
      <c r="C45" s="158">
        <f>SUM(C46:C48)</f>
        <v>114</v>
      </c>
      <c r="D45" s="62">
        <f>SUM(D46:D48)</f>
        <v>407</v>
      </c>
      <c r="E45" s="45">
        <f>SUM(E46:E48)</f>
        <v>521</v>
      </c>
      <c r="F45" s="45">
        <f>E49</f>
        <v>570</v>
      </c>
      <c r="G45" s="42" t="str">
        <f>A49</f>
        <v>Isokuul</v>
      </c>
      <c r="H45" s="62">
        <f>SUM(H46:H48)</f>
        <v>421</v>
      </c>
      <c r="I45" s="45">
        <f>SUM(I46:I48)</f>
        <v>535</v>
      </c>
      <c r="J45" s="45">
        <f>I57</f>
        <v>513</v>
      </c>
      <c r="K45" s="42" t="str">
        <f>A57</f>
        <v>MP Auto</v>
      </c>
      <c r="L45" s="133">
        <f>SUM(L46:L48)</f>
        <v>390</v>
      </c>
      <c r="M45" s="69">
        <f>SUM(M46:M48)</f>
        <v>504</v>
      </c>
      <c r="N45" s="45">
        <f>M41</f>
        <v>560</v>
      </c>
      <c r="O45" s="42" t="str">
        <f>A41</f>
        <v>Fulltrade</v>
      </c>
      <c r="P45" s="45">
        <f>SUM(P46:P48)</f>
        <v>449</v>
      </c>
      <c r="Q45" s="49">
        <f>SUM(Q46:Q48)</f>
        <v>563</v>
      </c>
      <c r="R45" s="45">
        <f>Q37</f>
        <v>534</v>
      </c>
      <c r="S45" s="42" t="str">
        <f>A37</f>
        <v>VERX</v>
      </c>
      <c r="T45" s="133">
        <f>SUM(T46:T48)</f>
        <v>469</v>
      </c>
      <c r="U45" s="69">
        <f>SUM(U46:U48)</f>
        <v>583</v>
      </c>
      <c r="V45" s="45">
        <f>U53</f>
        <v>586</v>
      </c>
      <c r="W45" s="42" t="str">
        <f>A53</f>
        <v>Näpi Saeveski</v>
      </c>
      <c r="X45" s="36">
        <f t="shared" si="1"/>
        <v>2706</v>
      </c>
      <c r="Y45" s="105">
        <f>X45-5*C45</f>
        <v>2136</v>
      </c>
      <c r="Z45" s="65">
        <f>AVERAGE(Z46,Z47,Z48)</f>
        <v>180.4</v>
      </c>
      <c r="AA45" s="65">
        <f>AVERAGE(AA46,AA47,AA48)</f>
        <v>142.4</v>
      </c>
      <c r="AB45" s="219">
        <f>F46+J46+N46+R46+V46</f>
        <v>2</v>
      </c>
    </row>
    <row r="46" spans="1:28" s="38" customFormat="1" ht="15.75" customHeight="1">
      <c r="A46" s="222" t="s">
        <v>250</v>
      </c>
      <c r="B46" s="223"/>
      <c r="C46" s="159">
        <v>42</v>
      </c>
      <c r="D46" s="59">
        <v>119</v>
      </c>
      <c r="E46" s="50">
        <f>D46+C46</f>
        <v>161</v>
      </c>
      <c r="F46" s="224">
        <v>0</v>
      </c>
      <c r="G46" s="225"/>
      <c r="H46" s="97">
        <v>161</v>
      </c>
      <c r="I46" s="46">
        <f>H46+C46</f>
        <v>203</v>
      </c>
      <c r="J46" s="224">
        <v>1</v>
      </c>
      <c r="K46" s="225"/>
      <c r="L46" s="97">
        <v>117</v>
      </c>
      <c r="M46" s="50">
        <f>L46+C46</f>
        <v>159</v>
      </c>
      <c r="N46" s="224">
        <v>0</v>
      </c>
      <c r="O46" s="225"/>
      <c r="P46" s="97">
        <v>157</v>
      </c>
      <c r="Q46" s="50">
        <f>P46+C46</f>
        <v>199</v>
      </c>
      <c r="R46" s="224">
        <v>1</v>
      </c>
      <c r="S46" s="225"/>
      <c r="T46" s="97">
        <v>149</v>
      </c>
      <c r="U46" s="50">
        <f>T46+C46</f>
        <v>191</v>
      </c>
      <c r="V46" s="224">
        <v>0</v>
      </c>
      <c r="W46" s="225"/>
      <c r="X46" s="46">
        <f t="shared" si="1"/>
        <v>913</v>
      </c>
      <c r="Y46" s="106">
        <f>D46+H46+L46+P46+T46</f>
        <v>703</v>
      </c>
      <c r="Z46" s="67">
        <f>AVERAGE(E46,I46,M46,Q46,U46)</f>
        <v>182.6</v>
      </c>
      <c r="AA46" s="67">
        <f>AVERAGE(E46,I46,M46,Q46,U46)-C46</f>
        <v>140.6</v>
      </c>
      <c r="AB46" s="220"/>
    </row>
    <row r="47" spans="1:28" s="38" customFormat="1" ht="15.75" customHeight="1">
      <c r="A47" s="222" t="s">
        <v>251</v>
      </c>
      <c r="B47" s="223"/>
      <c r="C47" s="159">
        <v>44</v>
      </c>
      <c r="D47" s="59">
        <v>136</v>
      </c>
      <c r="E47" s="50">
        <f>D47+C47</f>
        <v>180</v>
      </c>
      <c r="F47" s="226"/>
      <c r="G47" s="227"/>
      <c r="H47" s="98">
        <v>117</v>
      </c>
      <c r="I47" s="46">
        <f>H47+C47</f>
        <v>161</v>
      </c>
      <c r="J47" s="226"/>
      <c r="K47" s="227"/>
      <c r="L47" s="98">
        <v>136</v>
      </c>
      <c r="M47" s="50">
        <f>L47+C47</f>
        <v>180</v>
      </c>
      <c r="N47" s="226"/>
      <c r="O47" s="227"/>
      <c r="P47" s="98">
        <v>112</v>
      </c>
      <c r="Q47" s="50">
        <f>P47+C47</f>
        <v>156</v>
      </c>
      <c r="R47" s="226"/>
      <c r="S47" s="227"/>
      <c r="T47" s="98">
        <v>154</v>
      </c>
      <c r="U47" s="50">
        <f>T47+C47</f>
        <v>198</v>
      </c>
      <c r="V47" s="226"/>
      <c r="W47" s="227"/>
      <c r="X47" s="46">
        <f t="shared" si="1"/>
        <v>875</v>
      </c>
      <c r="Y47" s="106">
        <f>D47+H47+L47+P47+T47</f>
        <v>655</v>
      </c>
      <c r="Z47" s="67">
        <f>AVERAGE(E47,I47,M47,Q47,U47)</f>
        <v>175</v>
      </c>
      <c r="AA47" s="67">
        <f>AVERAGE(E47,I47,M47,Q47,U47)-C47</f>
        <v>131</v>
      </c>
      <c r="AB47" s="220"/>
    </row>
    <row r="48" spans="1:28" s="38" customFormat="1" ht="15.75" customHeight="1" thickBot="1">
      <c r="A48" s="229" t="s">
        <v>252</v>
      </c>
      <c r="B48" s="230"/>
      <c r="C48" s="160">
        <v>28</v>
      </c>
      <c r="D48" s="60">
        <v>152</v>
      </c>
      <c r="E48" s="50">
        <f>D48+C48</f>
        <v>180</v>
      </c>
      <c r="F48" s="204"/>
      <c r="G48" s="228"/>
      <c r="H48" s="99">
        <v>143</v>
      </c>
      <c r="I48" s="46">
        <f>H48+C48</f>
        <v>171</v>
      </c>
      <c r="J48" s="204"/>
      <c r="K48" s="228"/>
      <c r="L48" s="99">
        <v>137</v>
      </c>
      <c r="M48" s="50">
        <f>L48+C48</f>
        <v>165</v>
      </c>
      <c r="N48" s="204"/>
      <c r="O48" s="228"/>
      <c r="P48" s="99">
        <v>180</v>
      </c>
      <c r="Q48" s="50">
        <f>P48+C48</f>
        <v>208</v>
      </c>
      <c r="R48" s="204"/>
      <c r="S48" s="228"/>
      <c r="T48" s="99">
        <v>166</v>
      </c>
      <c r="U48" s="50">
        <f>T48+C48</f>
        <v>194</v>
      </c>
      <c r="V48" s="204"/>
      <c r="W48" s="228"/>
      <c r="X48" s="47">
        <f t="shared" si="1"/>
        <v>918</v>
      </c>
      <c r="Y48" s="107">
        <f>D48+H48+L48+P48+T48</f>
        <v>778</v>
      </c>
      <c r="Z48" s="68">
        <f>AVERAGE(E48,I48,M48,Q48,U48)</f>
        <v>183.6</v>
      </c>
      <c r="AA48" s="68">
        <f>AVERAGE(E48,I48,M48,Q48,U48)-C48</f>
        <v>155.6</v>
      </c>
      <c r="AB48" s="221"/>
    </row>
    <row r="49" spans="1:28" s="38" customFormat="1" ht="39" customHeight="1">
      <c r="A49" s="217" t="s">
        <v>132</v>
      </c>
      <c r="B49" s="218"/>
      <c r="C49" s="158">
        <f>SUM(C50:C52)</f>
        <v>81</v>
      </c>
      <c r="D49" s="62">
        <f>SUM(D50:D52)</f>
        <v>489</v>
      </c>
      <c r="E49" s="45">
        <f>SUM(E50:E52)</f>
        <v>570</v>
      </c>
      <c r="F49" s="45">
        <f>E45</f>
        <v>521</v>
      </c>
      <c r="G49" s="42" t="str">
        <f>A45</f>
        <v>Rakvere Soojus</v>
      </c>
      <c r="H49" s="62">
        <f>SUM(H50:H52)</f>
        <v>462</v>
      </c>
      <c r="I49" s="45">
        <f>SUM(I50:I52)</f>
        <v>543</v>
      </c>
      <c r="J49" s="45">
        <f>I41</f>
        <v>644</v>
      </c>
      <c r="K49" s="42" t="str">
        <f>A41</f>
        <v>Fulltrade</v>
      </c>
      <c r="L49" s="133">
        <f>SUM(L50:L52)</f>
        <v>465</v>
      </c>
      <c r="M49" s="49">
        <f>SUM(M50:M52)</f>
        <v>546</v>
      </c>
      <c r="N49" s="45">
        <f>M37</f>
        <v>587</v>
      </c>
      <c r="O49" s="42" t="str">
        <f>A37</f>
        <v>VERX</v>
      </c>
      <c r="P49" s="45">
        <f>SUM(P50:P52)</f>
        <v>480</v>
      </c>
      <c r="Q49" s="49">
        <f>SUM(Q50:Q52)</f>
        <v>561</v>
      </c>
      <c r="R49" s="45">
        <f>Q53</f>
        <v>503</v>
      </c>
      <c r="S49" s="42" t="str">
        <f>A53</f>
        <v>Näpi Saeveski</v>
      </c>
      <c r="T49" s="133">
        <f>SUM(T50:T52)</f>
        <v>511</v>
      </c>
      <c r="U49" s="49">
        <f>SUM(U50:U52)</f>
        <v>592</v>
      </c>
      <c r="V49" s="45">
        <f>U57</f>
        <v>543</v>
      </c>
      <c r="W49" s="42" t="str">
        <f>A57</f>
        <v>MP Auto</v>
      </c>
      <c r="X49" s="36">
        <f t="shared" si="1"/>
        <v>2812</v>
      </c>
      <c r="Y49" s="105">
        <f>X49-5*C49</f>
        <v>2407</v>
      </c>
      <c r="Z49" s="65">
        <f>AVERAGE(Z50,Z51,Z52)</f>
        <v>187.46666666666667</v>
      </c>
      <c r="AA49" s="65">
        <f>AVERAGE(AA50,AA51,AA52)</f>
        <v>160.46666666666667</v>
      </c>
      <c r="AB49" s="219">
        <f>F50+J50+N50+R50+V50</f>
        <v>3</v>
      </c>
    </row>
    <row r="50" spans="1:28" s="38" customFormat="1" ht="15.75" customHeight="1">
      <c r="A50" s="222" t="s">
        <v>117</v>
      </c>
      <c r="B50" s="223"/>
      <c r="C50" s="159">
        <v>37</v>
      </c>
      <c r="D50" s="59">
        <v>162</v>
      </c>
      <c r="E50" s="50">
        <f>D50+C50</f>
        <v>199</v>
      </c>
      <c r="F50" s="224">
        <v>1</v>
      </c>
      <c r="G50" s="225"/>
      <c r="H50" s="97">
        <v>99</v>
      </c>
      <c r="I50" s="46">
        <f>H50+C50</f>
        <v>136</v>
      </c>
      <c r="J50" s="224">
        <v>0</v>
      </c>
      <c r="K50" s="225"/>
      <c r="L50" s="97">
        <v>159</v>
      </c>
      <c r="M50" s="50">
        <f>L50+C50</f>
        <v>196</v>
      </c>
      <c r="N50" s="224">
        <v>0</v>
      </c>
      <c r="O50" s="225"/>
      <c r="P50" s="97">
        <v>158</v>
      </c>
      <c r="Q50" s="50">
        <f>P50+C50</f>
        <v>195</v>
      </c>
      <c r="R50" s="224">
        <v>1</v>
      </c>
      <c r="S50" s="225"/>
      <c r="T50" s="97">
        <v>202</v>
      </c>
      <c r="U50" s="50">
        <f>T50+C50</f>
        <v>239</v>
      </c>
      <c r="V50" s="224">
        <v>1</v>
      </c>
      <c r="W50" s="225"/>
      <c r="X50" s="46">
        <f t="shared" si="1"/>
        <v>965</v>
      </c>
      <c r="Y50" s="106">
        <f>D50+H50+L50+P50+T50</f>
        <v>780</v>
      </c>
      <c r="Z50" s="67">
        <f>AVERAGE(E50,I50,M50,Q50,U50)</f>
        <v>193</v>
      </c>
      <c r="AA50" s="67">
        <f>AVERAGE(E50,I50,M50,Q50,U50)-C50</f>
        <v>156</v>
      </c>
      <c r="AB50" s="220"/>
    </row>
    <row r="51" spans="1:28" s="38" customFormat="1" ht="15.75" customHeight="1">
      <c r="A51" s="222" t="s">
        <v>115</v>
      </c>
      <c r="B51" s="223"/>
      <c r="C51" s="159">
        <v>31</v>
      </c>
      <c r="D51" s="59">
        <v>183</v>
      </c>
      <c r="E51" s="50">
        <f>D51+C51</f>
        <v>214</v>
      </c>
      <c r="F51" s="226"/>
      <c r="G51" s="227"/>
      <c r="H51" s="98">
        <v>190</v>
      </c>
      <c r="I51" s="46">
        <f>H51+C51</f>
        <v>221</v>
      </c>
      <c r="J51" s="226"/>
      <c r="K51" s="227"/>
      <c r="L51" s="98">
        <v>162</v>
      </c>
      <c r="M51" s="50">
        <f>L51+C51</f>
        <v>193</v>
      </c>
      <c r="N51" s="226"/>
      <c r="O51" s="227"/>
      <c r="P51" s="98">
        <v>138</v>
      </c>
      <c r="Q51" s="50">
        <f>P51+C51</f>
        <v>169</v>
      </c>
      <c r="R51" s="226"/>
      <c r="S51" s="227"/>
      <c r="T51" s="98">
        <v>166</v>
      </c>
      <c r="U51" s="50">
        <f>T51+C51</f>
        <v>197</v>
      </c>
      <c r="V51" s="226"/>
      <c r="W51" s="227"/>
      <c r="X51" s="46">
        <f t="shared" si="1"/>
        <v>994</v>
      </c>
      <c r="Y51" s="106">
        <f>D51+H51+L51+P51+T51</f>
        <v>839</v>
      </c>
      <c r="Z51" s="67">
        <f>AVERAGE(E51,I51,M51,Q51,U51)</f>
        <v>198.8</v>
      </c>
      <c r="AA51" s="67">
        <f>AVERAGE(E51,I51,M51,Q51,U51)-C51</f>
        <v>167.8</v>
      </c>
      <c r="AB51" s="220"/>
    </row>
    <row r="52" spans="1:29" s="38" customFormat="1" ht="15.75" customHeight="1" thickBot="1">
      <c r="A52" s="229" t="s">
        <v>289</v>
      </c>
      <c r="B52" s="230"/>
      <c r="C52" s="160">
        <v>13</v>
      </c>
      <c r="D52" s="60">
        <v>144</v>
      </c>
      <c r="E52" s="50">
        <f>D52+C52</f>
        <v>157</v>
      </c>
      <c r="F52" s="204"/>
      <c r="G52" s="228"/>
      <c r="H52" s="99">
        <v>173</v>
      </c>
      <c r="I52" s="46">
        <f>H52+C52</f>
        <v>186</v>
      </c>
      <c r="J52" s="204"/>
      <c r="K52" s="228"/>
      <c r="L52" s="99">
        <v>144</v>
      </c>
      <c r="M52" s="50">
        <f>L52+C52</f>
        <v>157</v>
      </c>
      <c r="N52" s="204"/>
      <c r="O52" s="228"/>
      <c r="P52" s="99">
        <v>184</v>
      </c>
      <c r="Q52" s="50">
        <f>P52+C52</f>
        <v>197</v>
      </c>
      <c r="R52" s="204"/>
      <c r="S52" s="228"/>
      <c r="T52" s="99">
        <v>143</v>
      </c>
      <c r="U52" s="50">
        <f>T52+C52</f>
        <v>156</v>
      </c>
      <c r="V52" s="204"/>
      <c r="W52" s="228"/>
      <c r="X52" s="47">
        <f t="shared" si="1"/>
        <v>853</v>
      </c>
      <c r="Y52" s="107">
        <f>D52+H52+L52+P52+T52</f>
        <v>788</v>
      </c>
      <c r="Z52" s="68">
        <f>AVERAGE(E52,I52,M52,Q52,U52)</f>
        <v>170.6</v>
      </c>
      <c r="AA52" s="68">
        <f>AVERAGE(E52,I52,M52,Q52,U52)-C52</f>
        <v>157.6</v>
      </c>
      <c r="AB52" s="221"/>
      <c r="AC52" s="44"/>
    </row>
    <row r="53" spans="1:28" s="38" customFormat="1" ht="40.5" customHeight="1">
      <c r="A53" s="217" t="s">
        <v>226</v>
      </c>
      <c r="B53" s="218"/>
      <c r="C53" s="158">
        <f>SUM(C54:C56)</f>
        <v>68</v>
      </c>
      <c r="D53" s="62">
        <f>SUM(D54:D56)</f>
        <v>399</v>
      </c>
      <c r="E53" s="45">
        <f>SUM(E54:E56)</f>
        <v>467</v>
      </c>
      <c r="F53" s="45">
        <f>E41</f>
        <v>540</v>
      </c>
      <c r="G53" s="42" t="str">
        <f>A41</f>
        <v>Fulltrade</v>
      </c>
      <c r="H53" s="62">
        <f>SUM(H54:H56)</f>
        <v>471</v>
      </c>
      <c r="I53" s="45">
        <f>SUM(I54:I56)</f>
        <v>539</v>
      </c>
      <c r="J53" s="45">
        <f>I37</f>
        <v>576</v>
      </c>
      <c r="K53" s="42" t="str">
        <f>A37</f>
        <v>VERX</v>
      </c>
      <c r="L53" s="133">
        <f>SUM(L54:L56)</f>
        <v>481</v>
      </c>
      <c r="M53" s="69">
        <f>SUM(M54:M56)</f>
        <v>549</v>
      </c>
      <c r="N53" s="45">
        <f>M57</f>
        <v>530</v>
      </c>
      <c r="O53" s="42" t="str">
        <f>A57</f>
        <v>MP Auto</v>
      </c>
      <c r="P53" s="45">
        <f>SUM(P54:P56)</f>
        <v>435</v>
      </c>
      <c r="Q53" s="69">
        <f>SUM(Q54:Q56)</f>
        <v>503</v>
      </c>
      <c r="R53" s="45">
        <f>Q49</f>
        <v>561</v>
      </c>
      <c r="S53" s="42" t="str">
        <f>A49</f>
        <v>Isokuul</v>
      </c>
      <c r="T53" s="133">
        <f>SUM(T54:T56)</f>
        <v>518</v>
      </c>
      <c r="U53" s="69">
        <f>SUM(U54:U56)</f>
        <v>586</v>
      </c>
      <c r="V53" s="45">
        <f>U45</f>
        <v>583</v>
      </c>
      <c r="W53" s="42" t="str">
        <f>A45</f>
        <v>Rakvere Soojus</v>
      </c>
      <c r="X53" s="36">
        <f t="shared" si="1"/>
        <v>2644</v>
      </c>
      <c r="Y53" s="105">
        <f>X53-5*C53</f>
        <v>2304</v>
      </c>
      <c r="Z53" s="65">
        <f>AVERAGE(Z54,Z55,Z56)</f>
        <v>176.26666666666665</v>
      </c>
      <c r="AA53" s="65">
        <f>AVERAGE(AA54,AA55,AA56)</f>
        <v>153.6</v>
      </c>
      <c r="AB53" s="219">
        <f>F54+J54+N54+R54+V54</f>
        <v>2</v>
      </c>
    </row>
    <row r="54" spans="1:28" s="38" customFormat="1" ht="15.75" customHeight="1">
      <c r="A54" s="222" t="s">
        <v>206</v>
      </c>
      <c r="B54" s="223"/>
      <c r="C54" s="159">
        <v>17</v>
      </c>
      <c r="D54" s="59">
        <v>131</v>
      </c>
      <c r="E54" s="50">
        <f>D54+C54</f>
        <v>148</v>
      </c>
      <c r="F54" s="224">
        <v>0</v>
      </c>
      <c r="G54" s="225"/>
      <c r="H54" s="97">
        <v>129</v>
      </c>
      <c r="I54" s="46">
        <f>H54+C54</f>
        <v>146</v>
      </c>
      <c r="J54" s="224">
        <v>0</v>
      </c>
      <c r="K54" s="225"/>
      <c r="L54" s="97">
        <v>162</v>
      </c>
      <c r="M54" s="50">
        <f>L54+C54</f>
        <v>179</v>
      </c>
      <c r="N54" s="224">
        <v>1</v>
      </c>
      <c r="O54" s="225"/>
      <c r="P54" s="97">
        <v>160</v>
      </c>
      <c r="Q54" s="50">
        <f>P54+C54</f>
        <v>177</v>
      </c>
      <c r="R54" s="224">
        <v>0</v>
      </c>
      <c r="S54" s="225"/>
      <c r="T54" s="97">
        <v>189</v>
      </c>
      <c r="U54" s="50">
        <f>T54+C54</f>
        <v>206</v>
      </c>
      <c r="V54" s="224">
        <v>1</v>
      </c>
      <c r="W54" s="225"/>
      <c r="X54" s="46">
        <f t="shared" si="1"/>
        <v>856</v>
      </c>
      <c r="Y54" s="106">
        <f>D54+H54+L54+P54+T54</f>
        <v>771</v>
      </c>
      <c r="Z54" s="67">
        <f>AVERAGE(E54,I54,M54,Q54,U54)</f>
        <v>171.2</v>
      </c>
      <c r="AA54" s="67">
        <f>AVERAGE(E54,I54,M54,Q54,U54)-C54</f>
        <v>154.2</v>
      </c>
      <c r="AB54" s="220"/>
    </row>
    <row r="55" spans="1:28" s="38" customFormat="1" ht="15.75" customHeight="1">
      <c r="A55" s="222" t="s">
        <v>207</v>
      </c>
      <c r="B55" s="223"/>
      <c r="C55" s="159">
        <v>21</v>
      </c>
      <c r="D55" s="59">
        <v>137</v>
      </c>
      <c r="E55" s="50">
        <f>D55+C55</f>
        <v>158</v>
      </c>
      <c r="F55" s="226"/>
      <c r="G55" s="227"/>
      <c r="H55" s="98">
        <v>202</v>
      </c>
      <c r="I55" s="46">
        <f>H55+C55</f>
        <v>223</v>
      </c>
      <c r="J55" s="226"/>
      <c r="K55" s="227"/>
      <c r="L55" s="98">
        <v>197</v>
      </c>
      <c r="M55" s="50">
        <f>L55+C55</f>
        <v>218</v>
      </c>
      <c r="N55" s="226"/>
      <c r="O55" s="227"/>
      <c r="P55" s="98">
        <v>137</v>
      </c>
      <c r="Q55" s="50">
        <f>P55+C55</f>
        <v>158</v>
      </c>
      <c r="R55" s="226"/>
      <c r="S55" s="227"/>
      <c r="T55" s="98">
        <v>180</v>
      </c>
      <c r="U55" s="50">
        <f>T55+C55</f>
        <v>201</v>
      </c>
      <c r="V55" s="226"/>
      <c r="W55" s="227"/>
      <c r="X55" s="46">
        <f t="shared" si="1"/>
        <v>958</v>
      </c>
      <c r="Y55" s="106">
        <f>D55+H55+L55+P55+T55</f>
        <v>853</v>
      </c>
      <c r="Z55" s="67">
        <f>AVERAGE(E55,I55,M55,Q55,U55)</f>
        <v>191.6</v>
      </c>
      <c r="AA55" s="67">
        <f>AVERAGE(E55,I55,M55,Q55,U55)-C55</f>
        <v>170.6</v>
      </c>
      <c r="AB55" s="220"/>
    </row>
    <row r="56" spans="1:28" s="38" customFormat="1" ht="15.75" customHeight="1" thickBot="1">
      <c r="A56" s="229" t="s">
        <v>290</v>
      </c>
      <c r="B56" s="230"/>
      <c r="C56" s="160">
        <v>30</v>
      </c>
      <c r="D56" s="60">
        <v>131</v>
      </c>
      <c r="E56" s="50">
        <f>D56+C56</f>
        <v>161</v>
      </c>
      <c r="F56" s="204"/>
      <c r="G56" s="228"/>
      <c r="H56" s="99">
        <v>140</v>
      </c>
      <c r="I56" s="46">
        <f>H56+C56</f>
        <v>170</v>
      </c>
      <c r="J56" s="204"/>
      <c r="K56" s="228"/>
      <c r="L56" s="99">
        <v>122</v>
      </c>
      <c r="M56" s="50">
        <f>L56+C56</f>
        <v>152</v>
      </c>
      <c r="N56" s="204"/>
      <c r="O56" s="228"/>
      <c r="P56" s="99">
        <v>138</v>
      </c>
      <c r="Q56" s="50">
        <f>P56+C56</f>
        <v>168</v>
      </c>
      <c r="R56" s="204"/>
      <c r="S56" s="228"/>
      <c r="T56" s="99">
        <v>149</v>
      </c>
      <c r="U56" s="50">
        <f>T56+C56</f>
        <v>179</v>
      </c>
      <c r="V56" s="204"/>
      <c r="W56" s="228"/>
      <c r="X56" s="47">
        <f t="shared" si="1"/>
        <v>830</v>
      </c>
      <c r="Y56" s="107">
        <f>D56+H56+L56+P56+T56</f>
        <v>680</v>
      </c>
      <c r="Z56" s="68">
        <f>AVERAGE(E56,I56,M56,Q56,U56)</f>
        <v>166</v>
      </c>
      <c r="AA56" s="68">
        <f>AVERAGE(E56,I56,M56,Q56,U56)-C56</f>
        <v>136</v>
      </c>
      <c r="AB56" s="221"/>
    </row>
    <row r="57" spans="1:28" s="38" customFormat="1" ht="42" customHeight="1">
      <c r="A57" s="217" t="s">
        <v>223</v>
      </c>
      <c r="B57" s="218"/>
      <c r="C57" s="158">
        <f>SUM(C58:C60)</f>
        <v>121</v>
      </c>
      <c r="D57" s="62">
        <f>SUM(D58:D60)</f>
        <v>375</v>
      </c>
      <c r="E57" s="45">
        <f>SUM(E58:E60)</f>
        <v>496</v>
      </c>
      <c r="F57" s="45">
        <f>E37</f>
        <v>529</v>
      </c>
      <c r="G57" s="42" t="str">
        <f>A37</f>
        <v>VERX</v>
      </c>
      <c r="H57" s="62">
        <f>SUM(H58:H60)</f>
        <v>392</v>
      </c>
      <c r="I57" s="45">
        <f>SUM(I58:I60)</f>
        <v>513</v>
      </c>
      <c r="J57" s="45">
        <f>I45</f>
        <v>535</v>
      </c>
      <c r="K57" s="42" t="str">
        <f>A45</f>
        <v>Rakvere Soojus</v>
      </c>
      <c r="L57" s="133">
        <f>SUM(L58:L60)</f>
        <v>409</v>
      </c>
      <c r="M57" s="49">
        <f>SUM(M58:M60)</f>
        <v>530</v>
      </c>
      <c r="N57" s="45">
        <f>M53</f>
        <v>549</v>
      </c>
      <c r="O57" s="42" t="str">
        <f>A53</f>
        <v>Näpi Saeveski</v>
      </c>
      <c r="P57" s="45">
        <f>SUM(P58:P60)</f>
        <v>392</v>
      </c>
      <c r="Q57" s="49">
        <f>SUM(Q58:Q60)</f>
        <v>513</v>
      </c>
      <c r="R57" s="45">
        <f>Q41</f>
        <v>598</v>
      </c>
      <c r="S57" s="42" t="str">
        <f>A41</f>
        <v>Fulltrade</v>
      </c>
      <c r="T57" s="133">
        <f>SUM(T58:T60)</f>
        <v>422</v>
      </c>
      <c r="U57" s="49">
        <f>SUM(U58:U60)</f>
        <v>543</v>
      </c>
      <c r="V57" s="45">
        <f>U49</f>
        <v>592</v>
      </c>
      <c r="W57" s="42" t="str">
        <f>A49</f>
        <v>Isokuul</v>
      </c>
      <c r="X57" s="36">
        <f t="shared" si="1"/>
        <v>2595</v>
      </c>
      <c r="Y57" s="105">
        <f>X57-5*C57</f>
        <v>1990</v>
      </c>
      <c r="Z57" s="65">
        <f>AVERAGE(Z58,Z59,Z60)</f>
        <v>173</v>
      </c>
      <c r="AA57" s="65">
        <f>AVERAGE(AA58,AA59,AA60)</f>
        <v>132.66666666666666</v>
      </c>
      <c r="AB57" s="219">
        <f>F58+J58+N58+R58+V58</f>
        <v>0</v>
      </c>
    </row>
    <row r="58" spans="1:28" s="38" customFormat="1" ht="15.75" customHeight="1">
      <c r="A58" s="222" t="s">
        <v>209</v>
      </c>
      <c r="B58" s="223"/>
      <c r="C58" s="159">
        <v>34</v>
      </c>
      <c r="D58" s="59">
        <v>105</v>
      </c>
      <c r="E58" s="50">
        <f>D58+C58</f>
        <v>139</v>
      </c>
      <c r="F58" s="224">
        <v>0</v>
      </c>
      <c r="G58" s="225"/>
      <c r="H58" s="97">
        <v>123</v>
      </c>
      <c r="I58" s="46">
        <f>H58+C58</f>
        <v>157</v>
      </c>
      <c r="J58" s="224">
        <v>0</v>
      </c>
      <c r="K58" s="225"/>
      <c r="L58" s="97">
        <v>145</v>
      </c>
      <c r="M58" s="50">
        <f>L58+C58</f>
        <v>179</v>
      </c>
      <c r="N58" s="224">
        <v>0</v>
      </c>
      <c r="O58" s="225"/>
      <c r="P58" s="97">
        <v>121</v>
      </c>
      <c r="Q58" s="50">
        <f>P58+C58</f>
        <v>155</v>
      </c>
      <c r="R58" s="224">
        <v>0</v>
      </c>
      <c r="S58" s="225"/>
      <c r="T58" s="97">
        <v>140</v>
      </c>
      <c r="U58" s="50">
        <f>T58+C58</f>
        <v>174</v>
      </c>
      <c r="V58" s="224">
        <v>0</v>
      </c>
      <c r="W58" s="225"/>
      <c r="X58" s="46">
        <f t="shared" si="1"/>
        <v>804</v>
      </c>
      <c r="Y58" s="106">
        <f>D58+H58+L58+P58+T58</f>
        <v>634</v>
      </c>
      <c r="Z58" s="67">
        <f>AVERAGE(E58,I58,M58,Q58,U58)</f>
        <v>160.8</v>
      </c>
      <c r="AA58" s="67">
        <f>AVERAGE(E58,I58,M58,Q58,U58)-C58</f>
        <v>126.80000000000001</v>
      </c>
      <c r="AB58" s="220"/>
    </row>
    <row r="59" spans="1:28" s="38" customFormat="1" ht="15.75" customHeight="1">
      <c r="A59" s="222" t="s">
        <v>210</v>
      </c>
      <c r="B59" s="223"/>
      <c r="C59" s="159">
        <v>48</v>
      </c>
      <c r="D59" s="59">
        <v>127</v>
      </c>
      <c r="E59" s="50">
        <f>D59+C59</f>
        <v>175</v>
      </c>
      <c r="F59" s="226"/>
      <c r="G59" s="227"/>
      <c r="H59" s="98">
        <v>134</v>
      </c>
      <c r="I59" s="46">
        <f>H59+C59</f>
        <v>182</v>
      </c>
      <c r="J59" s="226"/>
      <c r="K59" s="227"/>
      <c r="L59" s="98">
        <v>149</v>
      </c>
      <c r="M59" s="50">
        <f>L59+C59</f>
        <v>197</v>
      </c>
      <c r="N59" s="226"/>
      <c r="O59" s="227"/>
      <c r="P59" s="98">
        <v>120</v>
      </c>
      <c r="Q59" s="50">
        <f>P59+C59</f>
        <v>168</v>
      </c>
      <c r="R59" s="226"/>
      <c r="S59" s="227"/>
      <c r="T59" s="98">
        <v>124</v>
      </c>
      <c r="U59" s="50">
        <f>T59+C59</f>
        <v>172</v>
      </c>
      <c r="V59" s="226"/>
      <c r="W59" s="227"/>
      <c r="X59" s="46">
        <f t="shared" si="1"/>
        <v>894</v>
      </c>
      <c r="Y59" s="106">
        <f>D59+H59+L59+P59+T59</f>
        <v>654</v>
      </c>
      <c r="Z59" s="67">
        <f>AVERAGE(E59,I59,M59,Q59,U59)</f>
        <v>178.8</v>
      </c>
      <c r="AA59" s="67">
        <f>AVERAGE(E59,I59,M59,Q59,U59)-C59</f>
        <v>130.8</v>
      </c>
      <c r="AB59" s="220"/>
    </row>
    <row r="60" spans="1:28" s="38" customFormat="1" ht="15.75" customHeight="1" thickBot="1">
      <c r="A60" s="229" t="s">
        <v>256</v>
      </c>
      <c r="B60" s="230"/>
      <c r="C60" s="160">
        <v>39</v>
      </c>
      <c r="D60" s="60">
        <v>143</v>
      </c>
      <c r="E60" s="50">
        <f>D60+C60</f>
        <v>182</v>
      </c>
      <c r="F60" s="204"/>
      <c r="G60" s="228"/>
      <c r="H60" s="99">
        <v>135</v>
      </c>
      <c r="I60" s="46">
        <f>H60+C60</f>
        <v>174</v>
      </c>
      <c r="J60" s="204"/>
      <c r="K60" s="228"/>
      <c r="L60" s="99">
        <v>115</v>
      </c>
      <c r="M60" s="50">
        <f>L60+C60</f>
        <v>154</v>
      </c>
      <c r="N60" s="204"/>
      <c r="O60" s="228"/>
      <c r="P60" s="99">
        <v>151</v>
      </c>
      <c r="Q60" s="50">
        <f>P60+C60</f>
        <v>190</v>
      </c>
      <c r="R60" s="204"/>
      <c r="S60" s="228"/>
      <c r="T60" s="99">
        <v>158</v>
      </c>
      <c r="U60" s="50">
        <f>T60+C60</f>
        <v>197</v>
      </c>
      <c r="V60" s="204"/>
      <c r="W60" s="228"/>
      <c r="X60" s="47">
        <f t="shared" si="1"/>
        <v>897</v>
      </c>
      <c r="Y60" s="107">
        <f>D60+H60+L60+P60+T60</f>
        <v>702</v>
      </c>
      <c r="Z60" s="68">
        <f>AVERAGE(E60,I60,M60,Q60,U60)</f>
        <v>179.4</v>
      </c>
      <c r="AA60" s="68">
        <f>AVERAGE(E60,I60,M60,Q60,U60)-C60</f>
        <v>140.4</v>
      </c>
      <c r="AB60" s="221"/>
    </row>
    <row r="61" spans="1:28" s="40" customFormat="1" ht="62.25" customHeight="1">
      <c r="A61" s="233" t="s">
        <v>281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4"/>
      <c r="W61" s="25"/>
      <c r="Y61" s="57"/>
      <c r="Z61" s="41"/>
      <c r="AA61" s="121"/>
      <c r="AB61" s="25"/>
    </row>
    <row r="62" spans="1:28" s="40" customFormat="1" ht="3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4"/>
      <c r="W62" s="25"/>
      <c r="Y62" s="57"/>
      <c r="Z62" s="41"/>
      <c r="AA62" s="121"/>
      <c r="AB62" s="25"/>
    </row>
    <row r="63" spans="1:28" s="40" customFormat="1" ht="18.75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5"/>
      <c r="W63" s="25"/>
      <c r="Y63" s="57"/>
      <c r="Z63" s="41"/>
      <c r="AA63" s="121"/>
      <c r="AB63" s="25"/>
    </row>
    <row r="64" spans="1:28" s="31" customFormat="1" ht="15.75" customHeight="1">
      <c r="A64" s="209" t="s">
        <v>0</v>
      </c>
      <c r="B64" s="210"/>
      <c r="C64" s="156" t="s">
        <v>39</v>
      </c>
      <c r="D64" s="55"/>
      <c r="E64" s="27" t="s">
        <v>1</v>
      </c>
      <c r="F64" s="211" t="s">
        <v>2</v>
      </c>
      <c r="G64" s="212"/>
      <c r="H64" s="94"/>
      <c r="I64" s="27" t="s">
        <v>3</v>
      </c>
      <c r="J64" s="211" t="s">
        <v>2</v>
      </c>
      <c r="K64" s="212"/>
      <c r="L64" s="94"/>
      <c r="M64" s="27" t="s">
        <v>4</v>
      </c>
      <c r="N64" s="211" t="s">
        <v>2</v>
      </c>
      <c r="O64" s="212"/>
      <c r="P64" s="94"/>
      <c r="Q64" s="27" t="s">
        <v>5</v>
      </c>
      <c r="R64" s="211" t="s">
        <v>2</v>
      </c>
      <c r="S64" s="212"/>
      <c r="T64" s="94"/>
      <c r="U64" s="27" t="s">
        <v>6</v>
      </c>
      <c r="V64" s="211" t="s">
        <v>2</v>
      </c>
      <c r="W64" s="212"/>
      <c r="X64" s="28" t="s">
        <v>7</v>
      </c>
      <c r="Y64" s="104"/>
      <c r="Z64" s="29" t="s">
        <v>40</v>
      </c>
      <c r="AA64" s="52" t="s">
        <v>42</v>
      </c>
      <c r="AB64" s="30" t="s">
        <v>7</v>
      </c>
    </row>
    <row r="65" spans="1:28" s="31" customFormat="1" ht="15.75" customHeight="1" thickBot="1">
      <c r="A65" s="213" t="s">
        <v>9</v>
      </c>
      <c r="B65" s="214"/>
      <c r="C65" s="157"/>
      <c r="D65" s="56"/>
      <c r="E65" s="32" t="s">
        <v>10</v>
      </c>
      <c r="F65" s="211" t="s">
        <v>11</v>
      </c>
      <c r="G65" s="212"/>
      <c r="H65" s="95"/>
      <c r="I65" s="32" t="s">
        <v>10</v>
      </c>
      <c r="J65" s="215" t="s">
        <v>11</v>
      </c>
      <c r="K65" s="216"/>
      <c r="L65" s="95"/>
      <c r="M65" s="32" t="s">
        <v>10</v>
      </c>
      <c r="N65" s="215" t="s">
        <v>11</v>
      </c>
      <c r="O65" s="216"/>
      <c r="P65" s="95"/>
      <c r="Q65" s="32" t="s">
        <v>10</v>
      </c>
      <c r="R65" s="215" t="s">
        <v>11</v>
      </c>
      <c r="S65" s="216"/>
      <c r="T65" s="95"/>
      <c r="U65" s="32" t="s">
        <v>10</v>
      </c>
      <c r="V65" s="215" t="s">
        <v>11</v>
      </c>
      <c r="W65" s="216"/>
      <c r="X65" s="33" t="s">
        <v>10</v>
      </c>
      <c r="Y65" s="134" t="s">
        <v>287</v>
      </c>
      <c r="Z65" s="34" t="s">
        <v>41</v>
      </c>
      <c r="AA65" s="53" t="s">
        <v>43</v>
      </c>
      <c r="AB65" s="35" t="s">
        <v>12</v>
      </c>
    </row>
    <row r="66" spans="1:28" s="38" customFormat="1" ht="42" customHeight="1">
      <c r="A66" s="217" t="s">
        <v>167</v>
      </c>
      <c r="B66" s="218"/>
      <c r="C66" s="158">
        <f>SUM(C67:C69)</f>
        <v>158</v>
      </c>
      <c r="D66" s="62">
        <f>SUM(D67:D69)</f>
        <v>400</v>
      </c>
      <c r="E66" s="63">
        <f>SUM(E67:E69)</f>
        <v>558</v>
      </c>
      <c r="F66" s="46">
        <f>E86</f>
        <v>509</v>
      </c>
      <c r="G66" s="64" t="str">
        <f>A86</f>
        <v>SADO</v>
      </c>
      <c r="H66" s="62">
        <f>SUM(H67:H69)</f>
        <v>424</v>
      </c>
      <c r="I66" s="49">
        <f>SUM(I67:I69)</f>
        <v>582</v>
      </c>
      <c r="J66" s="49">
        <f>I82</f>
        <v>498</v>
      </c>
      <c r="K66" s="42" t="str">
        <f>A82</f>
        <v>RAKTOOM</v>
      </c>
      <c r="L66" s="58">
        <f>SUM(L67:L69)</f>
        <v>383</v>
      </c>
      <c r="M66" s="45">
        <f>SUM(M67:M69)</f>
        <v>541</v>
      </c>
      <c r="N66" s="45">
        <f>M78</f>
        <v>537</v>
      </c>
      <c r="O66" s="42" t="str">
        <f>A78</f>
        <v>STIK</v>
      </c>
      <c r="P66" s="45">
        <f>SUM(P67:P69)</f>
        <v>366</v>
      </c>
      <c r="Q66" s="45">
        <f>SUM(Q67:Q69)</f>
        <v>524</v>
      </c>
      <c r="R66" s="45">
        <f>Q74</f>
        <v>513</v>
      </c>
      <c r="S66" s="42" t="str">
        <f>A74</f>
        <v>Holst/ Malmberg</v>
      </c>
      <c r="T66" s="133">
        <f>SUM(T67:T69)</f>
        <v>439</v>
      </c>
      <c r="U66" s="45">
        <f>SUM(U67:U69)</f>
        <v>597</v>
      </c>
      <c r="V66" s="45">
        <f>U70</f>
        <v>518</v>
      </c>
      <c r="W66" s="42" t="str">
        <f>A70</f>
        <v>Värska Vesi</v>
      </c>
      <c r="X66" s="36">
        <f aca="true" t="shared" si="2" ref="X66:X89">E66+I66+M66+Q66+U66</f>
        <v>2802</v>
      </c>
      <c r="Y66" s="105">
        <f>X66-5*C66</f>
        <v>2012</v>
      </c>
      <c r="Z66" s="37">
        <f>AVERAGE(Z67,Z68,Z69)</f>
        <v>186.80000000000004</v>
      </c>
      <c r="AA66" s="65">
        <f>AVERAGE(AA67,AA68,AA69)</f>
        <v>134.13333333333335</v>
      </c>
      <c r="AB66" s="219">
        <f>F67+J67+N67+R67+V67</f>
        <v>5</v>
      </c>
    </row>
    <row r="67" spans="1:28" s="38" customFormat="1" ht="15.75" customHeight="1">
      <c r="A67" s="222" t="s">
        <v>170</v>
      </c>
      <c r="B67" s="223"/>
      <c r="C67" s="159">
        <v>38</v>
      </c>
      <c r="D67" s="59">
        <v>144</v>
      </c>
      <c r="E67" s="50">
        <f>D67+C67</f>
        <v>182</v>
      </c>
      <c r="F67" s="224">
        <v>1</v>
      </c>
      <c r="G67" s="225"/>
      <c r="H67" s="97">
        <v>149</v>
      </c>
      <c r="I67" s="46">
        <f>H67+C67</f>
        <v>187</v>
      </c>
      <c r="J67" s="224">
        <v>1</v>
      </c>
      <c r="K67" s="225"/>
      <c r="L67" s="97">
        <v>120</v>
      </c>
      <c r="M67" s="50">
        <f>L67+C67</f>
        <v>158</v>
      </c>
      <c r="N67" s="224">
        <v>1</v>
      </c>
      <c r="O67" s="225"/>
      <c r="P67" s="97">
        <v>143</v>
      </c>
      <c r="Q67" s="50">
        <f>P67+C67</f>
        <v>181</v>
      </c>
      <c r="R67" s="224">
        <v>1</v>
      </c>
      <c r="S67" s="225"/>
      <c r="T67" s="97">
        <v>141</v>
      </c>
      <c r="U67" s="50">
        <f>T67+C67</f>
        <v>179</v>
      </c>
      <c r="V67" s="224">
        <v>1</v>
      </c>
      <c r="W67" s="225"/>
      <c r="X67" s="46">
        <f t="shared" si="2"/>
        <v>887</v>
      </c>
      <c r="Y67" s="106">
        <f>D67+H67+L67+P67+T67</f>
        <v>697</v>
      </c>
      <c r="Z67" s="67">
        <f>AVERAGE(E67,I67,M67,Q67,U67)</f>
        <v>177.4</v>
      </c>
      <c r="AA67" s="67">
        <f>AVERAGE(E67,I67,M67,Q67,U67)-C67</f>
        <v>139.4</v>
      </c>
      <c r="AB67" s="220"/>
    </row>
    <row r="68" spans="1:28" s="38" customFormat="1" ht="15.75" customHeight="1">
      <c r="A68" s="222" t="s">
        <v>285</v>
      </c>
      <c r="B68" s="223"/>
      <c r="C68" s="159">
        <v>60</v>
      </c>
      <c r="D68" s="59">
        <v>146</v>
      </c>
      <c r="E68" s="50">
        <f>D68+C68</f>
        <v>206</v>
      </c>
      <c r="F68" s="226"/>
      <c r="G68" s="227"/>
      <c r="H68" s="98">
        <v>148</v>
      </c>
      <c r="I68" s="46">
        <f>H68+C68</f>
        <v>208</v>
      </c>
      <c r="J68" s="226"/>
      <c r="K68" s="227"/>
      <c r="L68" s="98">
        <v>122</v>
      </c>
      <c r="M68" s="50">
        <f>L68+C68</f>
        <v>182</v>
      </c>
      <c r="N68" s="226"/>
      <c r="O68" s="227"/>
      <c r="P68" s="98">
        <v>107</v>
      </c>
      <c r="Q68" s="50">
        <f>P68+C68</f>
        <v>167</v>
      </c>
      <c r="R68" s="226"/>
      <c r="S68" s="227"/>
      <c r="T68" s="98">
        <v>151</v>
      </c>
      <c r="U68" s="50">
        <f>T68+C68</f>
        <v>211</v>
      </c>
      <c r="V68" s="226"/>
      <c r="W68" s="227"/>
      <c r="X68" s="46">
        <f t="shared" si="2"/>
        <v>974</v>
      </c>
      <c r="Y68" s="106">
        <f>D68+H68+L68+P68+T68</f>
        <v>674</v>
      </c>
      <c r="Z68" s="67">
        <f>AVERAGE(E68,I68,M68,Q68,U68)</f>
        <v>194.8</v>
      </c>
      <c r="AA68" s="67">
        <f>AVERAGE(E68,I68,M68,Q68,U68)-C68</f>
        <v>134.8</v>
      </c>
      <c r="AB68" s="220"/>
    </row>
    <row r="69" spans="1:28" s="38" customFormat="1" ht="16.5" customHeight="1" thickBot="1">
      <c r="A69" s="229" t="s">
        <v>169</v>
      </c>
      <c r="B69" s="230"/>
      <c r="C69" s="160">
        <v>60</v>
      </c>
      <c r="D69" s="60">
        <v>110</v>
      </c>
      <c r="E69" s="51">
        <f>D69+C69</f>
        <v>170</v>
      </c>
      <c r="F69" s="204"/>
      <c r="G69" s="228"/>
      <c r="H69" s="99">
        <v>127</v>
      </c>
      <c r="I69" s="47">
        <f>H69+C69</f>
        <v>187</v>
      </c>
      <c r="J69" s="204"/>
      <c r="K69" s="228"/>
      <c r="L69" s="99">
        <v>141</v>
      </c>
      <c r="M69" s="51">
        <f>L69+C69</f>
        <v>201</v>
      </c>
      <c r="N69" s="204"/>
      <c r="O69" s="228"/>
      <c r="P69" s="99">
        <v>116</v>
      </c>
      <c r="Q69" s="51">
        <f>P69+C69</f>
        <v>176</v>
      </c>
      <c r="R69" s="204"/>
      <c r="S69" s="228"/>
      <c r="T69" s="99">
        <v>147</v>
      </c>
      <c r="U69" s="51">
        <f>T69+C69</f>
        <v>207</v>
      </c>
      <c r="V69" s="204"/>
      <c r="W69" s="228"/>
      <c r="X69" s="47">
        <f t="shared" si="2"/>
        <v>941</v>
      </c>
      <c r="Y69" s="107">
        <f>D69+H69+L69+P69+T69</f>
        <v>641</v>
      </c>
      <c r="Z69" s="68">
        <f>AVERAGE(E69,I69,M69,Q69,U69)</f>
        <v>188.2</v>
      </c>
      <c r="AA69" s="68">
        <f>AVERAGE(E69,I69,M69,Q69,U69)-C69</f>
        <v>128.2</v>
      </c>
      <c r="AB69" s="221"/>
    </row>
    <row r="70" spans="1:28" s="38" customFormat="1" ht="41.25" customHeight="1">
      <c r="A70" s="217" t="s">
        <v>174</v>
      </c>
      <c r="B70" s="218"/>
      <c r="C70" s="158">
        <f>SUM(C71:C73)</f>
        <v>75</v>
      </c>
      <c r="D70" s="62">
        <f>SUM(D71:D73)</f>
        <v>532</v>
      </c>
      <c r="E70" s="45">
        <f>SUM(E71:E73)</f>
        <v>607</v>
      </c>
      <c r="F70" s="45">
        <f>E82</f>
        <v>543</v>
      </c>
      <c r="G70" s="42" t="str">
        <f>A82</f>
        <v>RAKTOOM</v>
      </c>
      <c r="H70" s="62">
        <f>SUM(H71:H73)</f>
        <v>458</v>
      </c>
      <c r="I70" s="45">
        <f>SUM(I71:I73)</f>
        <v>533</v>
      </c>
      <c r="J70" s="45">
        <f>I78</f>
        <v>487</v>
      </c>
      <c r="K70" s="42" t="str">
        <f>A78</f>
        <v>STIK</v>
      </c>
      <c r="L70" s="133">
        <f>SUM(L71:L73)</f>
        <v>457</v>
      </c>
      <c r="M70" s="49">
        <f>SUM(M71:M73)</f>
        <v>532</v>
      </c>
      <c r="N70" s="45">
        <f>M74</f>
        <v>547</v>
      </c>
      <c r="O70" s="42" t="str">
        <f>A74</f>
        <v>Holst/ Malmberg</v>
      </c>
      <c r="P70" s="45">
        <f>SUM(P71:P73)</f>
        <v>455</v>
      </c>
      <c r="Q70" s="49">
        <f>SUM(Q71:Q73)</f>
        <v>530</v>
      </c>
      <c r="R70" s="45">
        <f>Q86</f>
        <v>578</v>
      </c>
      <c r="S70" s="42" t="str">
        <f>A86</f>
        <v>SADO</v>
      </c>
      <c r="T70" s="133">
        <f>SUM(T71:T73)</f>
        <v>443</v>
      </c>
      <c r="U70" s="49">
        <f>SUM(U71:U73)</f>
        <v>518</v>
      </c>
      <c r="V70" s="45">
        <f>U66</f>
        <v>597</v>
      </c>
      <c r="W70" s="42" t="str">
        <f>A66</f>
        <v>T.E.M.</v>
      </c>
      <c r="X70" s="36">
        <f t="shared" si="2"/>
        <v>2720</v>
      </c>
      <c r="Y70" s="105">
        <f>X70-5*C70</f>
        <v>2345</v>
      </c>
      <c r="Z70" s="65">
        <f>AVERAGE(Z71,Z72,Z73)</f>
        <v>181.33333333333334</v>
      </c>
      <c r="AA70" s="65">
        <f>AVERAGE(AA71,AA72,AA73)</f>
        <v>156.33333333333334</v>
      </c>
      <c r="AB70" s="219">
        <f>F71+J71+N71+R71+V71</f>
        <v>2</v>
      </c>
    </row>
    <row r="71" spans="1:28" s="38" customFormat="1" ht="15.75" customHeight="1">
      <c r="A71" s="222" t="s">
        <v>176</v>
      </c>
      <c r="B71" s="223"/>
      <c r="C71" s="159">
        <v>21</v>
      </c>
      <c r="D71" s="59">
        <v>180</v>
      </c>
      <c r="E71" s="50">
        <f>D71+C71</f>
        <v>201</v>
      </c>
      <c r="F71" s="224">
        <v>1</v>
      </c>
      <c r="G71" s="225"/>
      <c r="H71" s="97">
        <v>174</v>
      </c>
      <c r="I71" s="46">
        <f>H71+C71</f>
        <v>195</v>
      </c>
      <c r="J71" s="224">
        <v>1</v>
      </c>
      <c r="K71" s="225"/>
      <c r="L71" s="97">
        <v>131</v>
      </c>
      <c r="M71" s="50">
        <f>L71+C71</f>
        <v>152</v>
      </c>
      <c r="N71" s="224">
        <v>0</v>
      </c>
      <c r="O71" s="225"/>
      <c r="P71" s="97">
        <v>137</v>
      </c>
      <c r="Q71" s="50">
        <f>P71+C71</f>
        <v>158</v>
      </c>
      <c r="R71" s="224">
        <v>0</v>
      </c>
      <c r="S71" s="225"/>
      <c r="T71" s="97">
        <v>150</v>
      </c>
      <c r="U71" s="50">
        <f>T71+C71</f>
        <v>171</v>
      </c>
      <c r="V71" s="224">
        <v>0</v>
      </c>
      <c r="W71" s="225"/>
      <c r="X71" s="46">
        <f t="shared" si="2"/>
        <v>877</v>
      </c>
      <c r="Y71" s="106">
        <f>D71+H71+L71+P71+T71</f>
        <v>772</v>
      </c>
      <c r="Z71" s="67">
        <f>AVERAGE(E71,I71,M71,Q71,U71)</f>
        <v>175.4</v>
      </c>
      <c r="AA71" s="67">
        <f>AVERAGE(E71,I71,M71,Q71,U71)-C71</f>
        <v>154.4</v>
      </c>
      <c r="AB71" s="220"/>
    </row>
    <row r="72" spans="1:28" s="38" customFormat="1" ht="15.75" customHeight="1">
      <c r="A72" s="222" t="s">
        <v>177</v>
      </c>
      <c r="B72" s="223"/>
      <c r="C72" s="159">
        <v>38</v>
      </c>
      <c r="D72" s="59">
        <v>166</v>
      </c>
      <c r="E72" s="50">
        <f>D72+C72</f>
        <v>204</v>
      </c>
      <c r="F72" s="226"/>
      <c r="G72" s="227"/>
      <c r="H72" s="98">
        <v>149</v>
      </c>
      <c r="I72" s="46">
        <f>H72+C72</f>
        <v>187</v>
      </c>
      <c r="J72" s="226"/>
      <c r="K72" s="227"/>
      <c r="L72" s="98">
        <v>158</v>
      </c>
      <c r="M72" s="50">
        <f>L72+C72</f>
        <v>196</v>
      </c>
      <c r="N72" s="226"/>
      <c r="O72" s="227"/>
      <c r="P72" s="98">
        <v>163</v>
      </c>
      <c r="Q72" s="50">
        <f>P72+C72</f>
        <v>201</v>
      </c>
      <c r="R72" s="226"/>
      <c r="S72" s="227"/>
      <c r="T72" s="98">
        <v>145</v>
      </c>
      <c r="U72" s="50">
        <f>T72+C72</f>
        <v>183</v>
      </c>
      <c r="V72" s="226"/>
      <c r="W72" s="227"/>
      <c r="X72" s="46">
        <f t="shared" si="2"/>
        <v>971</v>
      </c>
      <c r="Y72" s="106">
        <f>D72+H72+L72+P72+T72</f>
        <v>781</v>
      </c>
      <c r="Z72" s="67">
        <f>AVERAGE(E72,I72,M72,Q72,U72)</f>
        <v>194.2</v>
      </c>
      <c r="AA72" s="67">
        <f>AVERAGE(E72,I72,M72,Q72,U72)-C72</f>
        <v>156.2</v>
      </c>
      <c r="AB72" s="220"/>
    </row>
    <row r="73" spans="1:28" s="38" customFormat="1" ht="15.75" customHeight="1" thickBot="1">
      <c r="A73" s="229" t="s">
        <v>178</v>
      </c>
      <c r="B73" s="230"/>
      <c r="C73" s="160">
        <v>16</v>
      </c>
      <c r="D73" s="60">
        <v>186</v>
      </c>
      <c r="E73" s="51">
        <f>D73+C73</f>
        <v>202</v>
      </c>
      <c r="F73" s="204"/>
      <c r="G73" s="228"/>
      <c r="H73" s="99">
        <v>135</v>
      </c>
      <c r="I73" s="47">
        <f>H73+C73</f>
        <v>151</v>
      </c>
      <c r="J73" s="204"/>
      <c r="K73" s="228"/>
      <c r="L73" s="99">
        <v>168</v>
      </c>
      <c r="M73" s="51">
        <f>L73+C73</f>
        <v>184</v>
      </c>
      <c r="N73" s="204"/>
      <c r="O73" s="228"/>
      <c r="P73" s="99">
        <v>155</v>
      </c>
      <c r="Q73" s="51">
        <f>P73+C73</f>
        <v>171</v>
      </c>
      <c r="R73" s="204"/>
      <c r="S73" s="228"/>
      <c r="T73" s="99">
        <v>148</v>
      </c>
      <c r="U73" s="51">
        <f>T73+C73</f>
        <v>164</v>
      </c>
      <c r="V73" s="204"/>
      <c r="W73" s="228"/>
      <c r="X73" s="47">
        <f t="shared" si="2"/>
        <v>872</v>
      </c>
      <c r="Y73" s="107">
        <f>D73+H73+L73+P73+T73</f>
        <v>792</v>
      </c>
      <c r="Z73" s="68">
        <f>AVERAGE(E73,I73,M73,Q73,U73)</f>
        <v>174.4</v>
      </c>
      <c r="AA73" s="68">
        <f>AVERAGE(E73,I73,M73,Q73,U73)-C73</f>
        <v>158.4</v>
      </c>
      <c r="AB73" s="221"/>
    </row>
    <row r="74" spans="1:28" s="38" customFormat="1" ht="47.25" customHeight="1">
      <c r="A74" s="217" t="s">
        <v>282</v>
      </c>
      <c r="B74" s="218"/>
      <c r="C74" s="158">
        <f>SUM(C75:C77)</f>
        <v>118</v>
      </c>
      <c r="D74" s="62">
        <f>SUM(D75:D77)</f>
        <v>422</v>
      </c>
      <c r="E74" s="45">
        <f>SUM(E75:E77)</f>
        <v>540</v>
      </c>
      <c r="F74" s="45">
        <f>E78</f>
        <v>476</v>
      </c>
      <c r="G74" s="42" t="str">
        <f>A78</f>
        <v>STIK</v>
      </c>
      <c r="H74" s="62">
        <f>SUM(H75:H77)</f>
        <v>447</v>
      </c>
      <c r="I74" s="45">
        <f>SUM(I75:I77)</f>
        <v>565</v>
      </c>
      <c r="J74" s="45">
        <f>I86</f>
        <v>528</v>
      </c>
      <c r="K74" s="42" t="str">
        <f>A86</f>
        <v>SADO</v>
      </c>
      <c r="L74" s="133">
        <f>SUM(L75:L77)</f>
        <v>429</v>
      </c>
      <c r="M74" s="69">
        <f>SUM(M75:M77)</f>
        <v>547</v>
      </c>
      <c r="N74" s="45">
        <f>M70</f>
        <v>532</v>
      </c>
      <c r="O74" s="42" t="str">
        <f>A70</f>
        <v>Värska Vesi</v>
      </c>
      <c r="P74" s="45">
        <f>SUM(P75:P77)</f>
        <v>395</v>
      </c>
      <c r="Q74" s="49">
        <f>SUM(Q75:Q77)</f>
        <v>513</v>
      </c>
      <c r="R74" s="45">
        <f>Q66</f>
        <v>524</v>
      </c>
      <c r="S74" s="42" t="str">
        <f>A66</f>
        <v>T.E.M.</v>
      </c>
      <c r="T74" s="133">
        <f>SUM(T75:T77)</f>
        <v>453</v>
      </c>
      <c r="U74" s="69">
        <f>SUM(U75:U77)</f>
        <v>571</v>
      </c>
      <c r="V74" s="45">
        <f>U82</f>
        <v>527</v>
      </c>
      <c r="W74" s="42" t="str">
        <f>A82</f>
        <v>RAKTOOM</v>
      </c>
      <c r="X74" s="36">
        <f t="shared" si="2"/>
        <v>2736</v>
      </c>
      <c r="Y74" s="105">
        <f>X74-5*C74</f>
        <v>2146</v>
      </c>
      <c r="Z74" s="65">
        <f>AVERAGE(Z75,Z76,Z77)</f>
        <v>182.4</v>
      </c>
      <c r="AA74" s="65">
        <f>AVERAGE(AA75,AA76,AA77)</f>
        <v>143.06666666666666</v>
      </c>
      <c r="AB74" s="219">
        <f>F75+J75+N75+R75+V75</f>
        <v>4</v>
      </c>
    </row>
    <row r="75" spans="1:28" s="38" customFormat="1" ht="15.75" customHeight="1">
      <c r="A75" s="222" t="s">
        <v>147</v>
      </c>
      <c r="B75" s="223"/>
      <c r="C75" s="159">
        <v>33</v>
      </c>
      <c r="D75" s="59">
        <v>136</v>
      </c>
      <c r="E75" s="50">
        <f>D75+C75</f>
        <v>169</v>
      </c>
      <c r="F75" s="224">
        <v>1</v>
      </c>
      <c r="G75" s="225"/>
      <c r="H75" s="97">
        <v>186</v>
      </c>
      <c r="I75" s="46">
        <f>H75+C75</f>
        <v>219</v>
      </c>
      <c r="J75" s="224">
        <v>1</v>
      </c>
      <c r="K75" s="225"/>
      <c r="L75" s="97">
        <v>160</v>
      </c>
      <c r="M75" s="50">
        <f>L75+C75</f>
        <v>193</v>
      </c>
      <c r="N75" s="224">
        <v>1</v>
      </c>
      <c r="O75" s="225"/>
      <c r="P75" s="97">
        <v>146</v>
      </c>
      <c r="Q75" s="50">
        <f>P75+C75</f>
        <v>179</v>
      </c>
      <c r="R75" s="224">
        <v>0</v>
      </c>
      <c r="S75" s="225"/>
      <c r="T75" s="97">
        <v>173</v>
      </c>
      <c r="U75" s="50">
        <f>T75+C75</f>
        <v>206</v>
      </c>
      <c r="V75" s="224">
        <v>1</v>
      </c>
      <c r="W75" s="225"/>
      <c r="X75" s="46">
        <f t="shared" si="2"/>
        <v>966</v>
      </c>
      <c r="Y75" s="106">
        <f>D75+H75+L75+P75+T75</f>
        <v>801</v>
      </c>
      <c r="Z75" s="67">
        <f>AVERAGE(E75,I75,M75,Q75,U75)</f>
        <v>193.2</v>
      </c>
      <c r="AA75" s="67">
        <f>AVERAGE(E75,I75,M75,Q75,U75)-C75</f>
        <v>160.2</v>
      </c>
      <c r="AB75" s="220"/>
    </row>
    <row r="76" spans="1:28" s="38" customFormat="1" ht="15.75" customHeight="1">
      <c r="A76" s="222" t="s">
        <v>148</v>
      </c>
      <c r="B76" s="223"/>
      <c r="C76" s="159">
        <v>48</v>
      </c>
      <c r="D76" s="59">
        <v>105</v>
      </c>
      <c r="E76" s="50">
        <f>D76+C76</f>
        <v>153</v>
      </c>
      <c r="F76" s="226"/>
      <c r="G76" s="227"/>
      <c r="H76" s="98">
        <v>131</v>
      </c>
      <c r="I76" s="46">
        <f>H76+C76</f>
        <v>179</v>
      </c>
      <c r="J76" s="226"/>
      <c r="K76" s="227"/>
      <c r="L76" s="98">
        <v>104</v>
      </c>
      <c r="M76" s="50">
        <f>L76+C76</f>
        <v>152</v>
      </c>
      <c r="N76" s="226"/>
      <c r="O76" s="227"/>
      <c r="P76" s="98">
        <v>125</v>
      </c>
      <c r="Q76" s="50">
        <f>P76+C76</f>
        <v>173</v>
      </c>
      <c r="R76" s="226"/>
      <c r="S76" s="227"/>
      <c r="T76" s="98">
        <v>145</v>
      </c>
      <c r="U76" s="50">
        <f>T76+C76</f>
        <v>193</v>
      </c>
      <c r="V76" s="226"/>
      <c r="W76" s="227"/>
      <c r="X76" s="46">
        <f t="shared" si="2"/>
        <v>850</v>
      </c>
      <c r="Y76" s="106">
        <f>D76+H76+L76+P76+T76</f>
        <v>610</v>
      </c>
      <c r="Z76" s="67">
        <f>AVERAGE(E76,I76,M76,Q76,U76)</f>
        <v>170</v>
      </c>
      <c r="AA76" s="67">
        <f>AVERAGE(E76,I76,M76,Q76,U76)-C76</f>
        <v>122</v>
      </c>
      <c r="AB76" s="220"/>
    </row>
    <row r="77" spans="1:28" s="38" customFormat="1" ht="15.75" customHeight="1" thickBot="1">
      <c r="A77" s="229" t="s">
        <v>149</v>
      </c>
      <c r="B77" s="230"/>
      <c r="C77" s="160">
        <v>37</v>
      </c>
      <c r="D77" s="60">
        <v>181</v>
      </c>
      <c r="E77" s="51">
        <f>D77+C77</f>
        <v>218</v>
      </c>
      <c r="F77" s="204"/>
      <c r="G77" s="228"/>
      <c r="H77" s="99">
        <v>130</v>
      </c>
      <c r="I77" s="47">
        <f>H77+C77</f>
        <v>167</v>
      </c>
      <c r="J77" s="204"/>
      <c r="K77" s="228"/>
      <c r="L77" s="99">
        <v>165</v>
      </c>
      <c r="M77" s="51">
        <f>L77+C77</f>
        <v>202</v>
      </c>
      <c r="N77" s="204"/>
      <c r="O77" s="228"/>
      <c r="P77" s="99">
        <v>124</v>
      </c>
      <c r="Q77" s="51">
        <f>P77+C77</f>
        <v>161</v>
      </c>
      <c r="R77" s="204"/>
      <c r="S77" s="228"/>
      <c r="T77" s="99">
        <v>135</v>
      </c>
      <c r="U77" s="51">
        <f>T77+C77</f>
        <v>172</v>
      </c>
      <c r="V77" s="204"/>
      <c r="W77" s="228"/>
      <c r="X77" s="47">
        <f t="shared" si="2"/>
        <v>920</v>
      </c>
      <c r="Y77" s="107">
        <f>D77+H77+L77+P77+T77</f>
        <v>735</v>
      </c>
      <c r="Z77" s="68">
        <f>AVERAGE(E77,I77,M77,Q77,U77)</f>
        <v>184</v>
      </c>
      <c r="AA77" s="68">
        <f>AVERAGE(E77,I77,M77,Q77,U77)-C77</f>
        <v>147</v>
      </c>
      <c r="AB77" s="221"/>
    </row>
    <row r="78" spans="1:28" s="38" customFormat="1" ht="39" customHeight="1">
      <c r="A78" s="217" t="s">
        <v>171</v>
      </c>
      <c r="B78" s="218"/>
      <c r="C78" s="158">
        <f>SUM(C79:C81)</f>
        <v>152</v>
      </c>
      <c r="D78" s="62">
        <f>SUM(D79:D81)</f>
        <v>324</v>
      </c>
      <c r="E78" s="45">
        <f>SUM(E79:E81)</f>
        <v>476</v>
      </c>
      <c r="F78" s="45">
        <f>E74</f>
        <v>540</v>
      </c>
      <c r="G78" s="42" t="str">
        <f>A74</f>
        <v>Holst/ Malmberg</v>
      </c>
      <c r="H78" s="62">
        <f>SUM(H79:H81)</f>
        <v>335</v>
      </c>
      <c r="I78" s="45">
        <f>SUM(I79:I81)</f>
        <v>487</v>
      </c>
      <c r="J78" s="45">
        <f>I70</f>
        <v>533</v>
      </c>
      <c r="K78" s="42" t="str">
        <f>A70</f>
        <v>Värska Vesi</v>
      </c>
      <c r="L78" s="133">
        <f>SUM(L79:L81)</f>
        <v>385</v>
      </c>
      <c r="M78" s="49">
        <f>SUM(M79:M81)</f>
        <v>537</v>
      </c>
      <c r="N78" s="45">
        <f>M66</f>
        <v>541</v>
      </c>
      <c r="O78" s="42" t="str">
        <f>A66</f>
        <v>T.E.M.</v>
      </c>
      <c r="P78" s="45">
        <f>SUM(P79:P81)</f>
        <v>354</v>
      </c>
      <c r="Q78" s="49">
        <f>SUM(Q79:Q81)</f>
        <v>506</v>
      </c>
      <c r="R78" s="45">
        <f>Q82</f>
        <v>503</v>
      </c>
      <c r="S78" s="42" t="str">
        <f>A82</f>
        <v>RAKTOOM</v>
      </c>
      <c r="T78" s="133">
        <f>SUM(T79:T81)</f>
        <v>457</v>
      </c>
      <c r="U78" s="49">
        <f>SUM(U79:U81)</f>
        <v>609</v>
      </c>
      <c r="V78" s="45">
        <f>U86</f>
        <v>611</v>
      </c>
      <c r="W78" s="42" t="str">
        <f>A86</f>
        <v>SADO</v>
      </c>
      <c r="X78" s="36">
        <f t="shared" si="2"/>
        <v>2615</v>
      </c>
      <c r="Y78" s="105">
        <f>X78-5*C78</f>
        <v>1855</v>
      </c>
      <c r="Z78" s="65">
        <f>AVERAGE(Z79,Z80,Z81)</f>
        <v>174.33333333333334</v>
      </c>
      <c r="AA78" s="65">
        <f>AVERAGE(AA79,AA80,AA81)</f>
        <v>123.66666666666664</v>
      </c>
      <c r="AB78" s="219">
        <f>F79+J79+N79+R79+V79</f>
        <v>1</v>
      </c>
    </row>
    <row r="79" spans="1:28" s="38" customFormat="1" ht="15.75" customHeight="1">
      <c r="A79" s="222" t="s">
        <v>182</v>
      </c>
      <c r="B79" s="223"/>
      <c r="C79" s="159">
        <v>36</v>
      </c>
      <c r="D79" s="59">
        <v>125</v>
      </c>
      <c r="E79" s="50">
        <f>D79+C79</f>
        <v>161</v>
      </c>
      <c r="F79" s="224">
        <v>0</v>
      </c>
      <c r="G79" s="225"/>
      <c r="H79" s="97">
        <v>135</v>
      </c>
      <c r="I79" s="46">
        <f>H79+C79</f>
        <v>171</v>
      </c>
      <c r="J79" s="224">
        <v>0</v>
      </c>
      <c r="K79" s="225"/>
      <c r="L79" s="97">
        <v>126</v>
      </c>
      <c r="M79" s="50">
        <f>L79+C79</f>
        <v>162</v>
      </c>
      <c r="N79" s="224">
        <v>0</v>
      </c>
      <c r="O79" s="225"/>
      <c r="P79" s="97">
        <v>137</v>
      </c>
      <c r="Q79" s="50">
        <f>P79+C79</f>
        <v>173</v>
      </c>
      <c r="R79" s="224">
        <v>1</v>
      </c>
      <c r="S79" s="225"/>
      <c r="T79" s="97">
        <v>218</v>
      </c>
      <c r="U79" s="50">
        <f>T79+C79</f>
        <v>254</v>
      </c>
      <c r="V79" s="224">
        <v>0</v>
      </c>
      <c r="W79" s="225"/>
      <c r="X79" s="46">
        <f t="shared" si="2"/>
        <v>921</v>
      </c>
      <c r="Y79" s="106">
        <f>D79+H79+L79+P79+T79</f>
        <v>741</v>
      </c>
      <c r="Z79" s="67">
        <f>AVERAGE(E79,I79,M79,Q79,U79)</f>
        <v>184.2</v>
      </c>
      <c r="AA79" s="67">
        <f>AVERAGE(E79,I79,M79,Q79,U79)-C79</f>
        <v>148.2</v>
      </c>
      <c r="AB79" s="220"/>
    </row>
    <row r="80" spans="1:28" s="38" customFormat="1" ht="15.75" customHeight="1">
      <c r="A80" s="222" t="s">
        <v>183</v>
      </c>
      <c r="B80" s="223"/>
      <c r="C80" s="159">
        <v>56</v>
      </c>
      <c r="D80" s="59">
        <v>104</v>
      </c>
      <c r="E80" s="50">
        <f>D80+C80</f>
        <v>160</v>
      </c>
      <c r="F80" s="226"/>
      <c r="G80" s="227"/>
      <c r="H80" s="98">
        <v>132</v>
      </c>
      <c r="I80" s="46">
        <f>H80+C80</f>
        <v>188</v>
      </c>
      <c r="J80" s="226"/>
      <c r="K80" s="227"/>
      <c r="L80" s="98">
        <v>151</v>
      </c>
      <c r="M80" s="50">
        <f>L80+C80</f>
        <v>207</v>
      </c>
      <c r="N80" s="226"/>
      <c r="O80" s="227"/>
      <c r="P80" s="98">
        <v>106</v>
      </c>
      <c r="Q80" s="50">
        <f>P80+C80</f>
        <v>162</v>
      </c>
      <c r="R80" s="226"/>
      <c r="S80" s="227"/>
      <c r="T80" s="98">
        <v>115</v>
      </c>
      <c r="U80" s="50">
        <f>T80+C80</f>
        <v>171</v>
      </c>
      <c r="V80" s="226"/>
      <c r="W80" s="227"/>
      <c r="X80" s="46">
        <f t="shared" si="2"/>
        <v>888</v>
      </c>
      <c r="Y80" s="106">
        <f>D80+H80+L80+P80+T80</f>
        <v>608</v>
      </c>
      <c r="Z80" s="67">
        <f>AVERAGE(E80,I80,M80,Q80,U80)</f>
        <v>177.6</v>
      </c>
      <c r="AA80" s="67">
        <f>AVERAGE(E80,I80,M80,Q80,U80)-C80</f>
        <v>121.6</v>
      </c>
      <c r="AB80" s="220"/>
    </row>
    <row r="81" spans="1:29" s="38" customFormat="1" ht="15.75" customHeight="1" thickBot="1">
      <c r="A81" s="229" t="s">
        <v>184</v>
      </c>
      <c r="B81" s="230"/>
      <c r="C81" s="160">
        <v>60</v>
      </c>
      <c r="D81" s="60">
        <v>95</v>
      </c>
      <c r="E81" s="51">
        <f>D81+C81</f>
        <v>155</v>
      </c>
      <c r="F81" s="204"/>
      <c r="G81" s="228"/>
      <c r="H81" s="99">
        <v>68</v>
      </c>
      <c r="I81" s="47">
        <f>H81+C81</f>
        <v>128</v>
      </c>
      <c r="J81" s="204"/>
      <c r="K81" s="228"/>
      <c r="L81" s="99">
        <v>108</v>
      </c>
      <c r="M81" s="51">
        <f>L81+C81</f>
        <v>168</v>
      </c>
      <c r="N81" s="204"/>
      <c r="O81" s="228"/>
      <c r="P81" s="99">
        <v>111</v>
      </c>
      <c r="Q81" s="51">
        <f>P81+C81</f>
        <v>171</v>
      </c>
      <c r="R81" s="204"/>
      <c r="S81" s="228"/>
      <c r="T81" s="99">
        <v>124</v>
      </c>
      <c r="U81" s="51">
        <f>T81+C81</f>
        <v>184</v>
      </c>
      <c r="V81" s="204"/>
      <c r="W81" s="228"/>
      <c r="X81" s="47">
        <f t="shared" si="2"/>
        <v>806</v>
      </c>
      <c r="Y81" s="107">
        <f>D81+H81+L81+P81+T81</f>
        <v>506</v>
      </c>
      <c r="Z81" s="68">
        <f>AVERAGE(E81,I81,M81,Q81,U81)</f>
        <v>161.2</v>
      </c>
      <c r="AA81" s="68">
        <f>AVERAGE(E81,I81,M81,Q81,U81)-C81</f>
        <v>101.19999999999999</v>
      </c>
      <c r="AB81" s="221"/>
      <c r="AC81" s="44"/>
    </row>
    <row r="82" spans="1:28" s="38" customFormat="1" ht="40.5" customHeight="1">
      <c r="A82" s="217" t="s">
        <v>108</v>
      </c>
      <c r="B82" s="218"/>
      <c r="C82" s="158">
        <f>SUM(C83:C85)</f>
        <v>141</v>
      </c>
      <c r="D82" s="62">
        <f>SUM(D83:D85)</f>
        <v>402</v>
      </c>
      <c r="E82" s="45">
        <f>SUM(E83:E85)</f>
        <v>543</v>
      </c>
      <c r="F82" s="45">
        <f>E70</f>
        <v>607</v>
      </c>
      <c r="G82" s="42" t="str">
        <f>A70</f>
        <v>Värska Vesi</v>
      </c>
      <c r="H82" s="62">
        <f>SUM(H83:H85)</f>
        <v>357</v>
      </c>
      <c r="I82" s="45">
        <f>SUM(I83:I85)</f>
        <v>498</v>
      </c>
      <c r="J82" s="45">
        <f>I66</f>
        <v>582</v>
      </c>
      <c r="K82" s="42" t="str">
        <f>A66</f>
        <v>T.E.M.</v>
      </c>
      <c r="L82" s="133">
        <f>SUM(L83:L85)</f>
        <v>383</v>
      </c>
      <c r="M82" s="69">
        <f>SUM(M83:M85)</f>
        <v>524</v>
      </c>
      <c r="N82" s="45">
        <f>M86</f>
        <v>591</v>
      </c>
      <c r="O82" s="42" t="str">
        <f>A86</f>
        <v>SADO</v>
      </c>
      <c r="P82" s="45">
        <f>SUM(P83:P85)</f>
        <v>362</v>
      </c>
      <c r="Q82" s="69">
        <f>SUM(Q83:Q85)</f>
        <v>503</v>
      </c>
      <c r="R82" s="45">
        <f>Q78</f>
        <v>506</v>
      </c>
      <c r="S82" s="42" t="str">
        <f>A78</f>
        <v>STIK</v>
      </c>
      <c r="T82" s="133">
        <f>SUM(T83:T85)</f>
        <v>386</v>
      </c>
      <c r="U82" s="69">
        <f>SUM(U83:U85)</f>
        <v>527</v>
      </c>
      <c r="V82" s="45">
        <f>U74</f>
        <v>571</v>
      </c>
      <c r="W82" s="42" t="str">
        <f>A74</f>
        <v>Holst/ Malmberg</v>
      </c>
      <c r="X82" s="36">
        <f t="shared" si="2"/>
        <v>2595</v>
      </c>
      <c r="Y82" s="105">
        <f>X82-5*C82</f>
        <v>1890</v>
      </c>
      <c r="Z82" s="65">
        <f>AVERAGE(Z83,Z84,Z85)</f>
        <v>173</v>
      </c>
      <c r="AA82" s="65">
        <f>AVERAGE(AA83,AA84,AA85)</f>
        <v>126</v>
      </c>
      <c r="AB82" s="219">
        <f>F83+J83+N83+R83+V83</f>
        <v>0</v>
      </c>
    </row>
    <row r="83" spans="1:28" s="38" customFormat="1" ht="15.75" customHeight="1">
      <c r="A83" s="222" t="s">
        <v>283</v>
      </c>
      <c r="B83" s="223"/>
      <c r="C83" s="159">
        <v>50</v>
      </c>
      <c r="D83" s="59">
        <v>150</v>
      </c>
      <c r="E83" s="50">
        <f>D83+C83</f>
        <v>200</v>
      </c>
      <c r="F83" s="224">
        <v>0</v>
      </c>
      <c r="G83" s="225"/>
      <c r="H83" s="97">
        <v>93</v>
      </c>
      <c r="I83" s="46">
        <f>H83+C83</f>
        <v>143</v>
      </c>
      <c r="J83" s="224">
        <v>0</v>
      </c>
      <c r="K83" s="225"/>
      <c r="L83" s="97">
        <v>109</v>
      </c>
      <c r="M83" s="50">
        <f>L83+C83</f>
        <v>159</v>
      </c>
      <c r="N83" s="224">
        <v>0</v>
      </c>
      <c r="O83" s="225"/>
      <c r="P83" s="97">
        <v>121</v>
      </c>
      <c r="Q83" s="50">
        <f>P83+C83</f>
        <v>171</v>
      </c>
      <c r="R83" s="224">
        <v>0</v>
      </c>
      <c r="S83" s="225"/>
      <c r="T83" s="97">
        <v>158</v>
      </c>
      <c r="U83" s="50">
        <f>T83+C83</f>
        <v>208</v>
      </c>
      <c r="V83" s="224">
        <v>0</v>
      </c>
      <c r="W83" s="225"/>
      <c r="X83" s="46">
        <f t="shared" si="2"/>
        <v>881</v>
      </c>
      <c r="Y83" s="106">
        <f>D83+H83+L83+P83+T83</f>
        <v>631</v>
      </c>
      <c r="Z83" s="67">
        <f>AVERAGE(E83,I83,M83,Q83,U83)</f>
        <v>176.2</v>
      </c>
      <c r="AA83" s="67">
        <f>AVERAGE(E83,I83,M83,Q83,U83)-C83</f>
        <v>126.19999999999999</v>
      </c>
      <c r="AB83" s="220"/>
    </row>
    <row r="84" spans="1:28" s="38" customFormat="1" ht="15.75" customHeight="1">
      <c r="A84" s="222" t="s">
        <v>284</v>
      </c>
      <c r="B84" s="223"/>
      <c r="C84" s="159">
        <v>50</v>
      </c>
      <c r="D84" s="59">
        <v>130</v>
      </c>
      <c r="E84" s="50">
        <f>D84+C84</f>
        <v>180</v>
      </c>
      <c r="F84" s="226"/>
      <c r="G84" s="227"/>
      <c r="H84" s="98">
        <v>123</v>
      </c>
      <c r="I84" s="46">
        <f>H84+C84</f>
        <v>173</v>
      </c>
      <c r="J84" s="226"/>
      <c r="K84" s="227"/>
      <c r="L84" s="98">
        <v>128</v>
      </c>
      <c r="M84" s="50">
        <f>L84+C84</f>
        <v>178</v>
      </c>
      <c r="N84" s="226"/>
      <c r="O84" s="227"/>
      <c r="P84" s="98">
        <v>140</v>
      </c>
      <c r="Q84" s="50">
        <f>P84+C84</f>
        <v>190</v>
      </c>
      <c r="R84" s="226"/>
      <c r="S84" s="227"/>
      <c r="T84" s="98">
        <v>133</v>
      </c>
      <c r="U84" s="50">
        <f>T84+C84</f>
        <v>183</v>
      </c>
      <c r="V84" s="226"/>
      <c r="W84" s="227"/>
      <c r="X84" s="46">
        <f t="shared" si="2"/>
        <v>904</v>
      </c>
      <c r="Y84" s="106">
        <f>D84+H84+L84+P84+T84</f>
        <v>654</v>
      </c>
      <c r="Z84" s="67">
        <f>AVERAGE(E84,I84,M84,Q84,U84)</f>
        <v>180.8</v>
      </c>
      <c r="AA84" s="67">
        <f>AVERAGE(E84,I84,M84,Q84,U84)-C84</f>
        <v>130.8</v>
      </c>
      <c r="AB84" s="220"/>
    </row>
    <row r="85" spans="1:28" s="38" customFormat="1" ht="15.75" customHeight="1" thickBot="1">
      <c r="A85" s="229" t="s">
        <v>118</v>
      </c>
      <c r="B85" s="230"/>
      <c r="C85" s="160">
        <v>41</v>
      </c>
      <c r="D85" s="60">
        <v>122</v>
      </c>
      <c r="E85" s="51">
        <f>D85+C85</f>
        <v>163</v>
      </c>
      <c r="F85" s="204"/>
      <c r="G85" s="228"/>
      <c r="H85" s="99">
        <v>141</v>
      </c>
      <c r="I85" s="47">
        <f>H85+C85</f>
        <v>182</v>
      </c>
      <c r="J85" s="204"/>
      <c r="K85" s="228"/>
      <c r="L85" s="99">
        <v>146</v>
      </c>
      <c r="M85" s="51">
        <f>L85+C85</f>
        <v>187</v>
      </c>
      <c r="N85" s="204"/>
      <c r="O85" s="228"/>
      <c r="P85" s="99">
        <v>101</v>
      </c>
      <c r="Q85" s="51">
        <f>P85+C85</f>
        <v>142</v>
      </c>
      <c r="R85" s="204"/>
      <c r="S85" s="228"/>
      <c r="T85" s="99">
        <v>95</v>
      </c>
      <c r="U85" s="51">
        <f>T85+C85</f>
        <v>136</v>
      </c>
      <c r="V85" s="204"/>
      <c r="W85" s="228"/>
      <c r="X85" s="47">
        <f t="shared" si="2"/>
        <v>810</v>
      </c>
      <c r="Y85" s="107">
        <f>D85+H85+L85+P85+T85</f>
        <v>605</v>
      </c>
      <c r="Z85" s="68">
        <f>AVERAGE(E85,I85,M85,Q85,U85)</f>
        <v>162</v>
      </c>
      <c r="AA85" s="68">
        <f>AVERAGE(E85,I85,M85,Q85,U85)-C85</f>
        <v>121</v>
      </c>
      <c r="AB85" s="221"/>
    </row>
    <row r="86" spans="1:28" s="38" customFormat="1" ht="42" customHeight="1">
      <c r="A86" s="217" t="s">
        <v>76</v>
      </c>
      <c r="B86" s="218"/>
      <c r="C86" s="158">
        <f>SUM(C87:C89)</f>
        <v>107</v>
      </c>
      <c r="D86" s="62">
        <f>SUM(D87:D89)</f>
        <v>402</v>
      </c>
      <c r="E86" s="45">
        <f>SUM(E87:E89)</f>
        <v>509</v>
      </c>
      <c r="F86" s="45">
        <f>E66</f>
        <v>558</v>
      </c>
      <c r="G86" s="42" t="str">
        <f>A66</f>
        <v>T.E.M.</v>
      </c>
      <c r="H86" s="62">
        <f>SUM(H87:H89)</f>
        <v>421</v>
      </c>
      <c r="I86" s="45">
        <f>SUM(I87:I89)</f>
        <v>528</v>
      </c>
      <c r="J86" s="45">
        <f>I74</f>
        <v>565</v>
      </c>
      <c r="K86" s="42" t="str">
        <f>A74</f>
        <v>Holst/ Malmberg</v>
      </c>
      <c r="L86" s="133">
        <f>SUM(L87:L89)</f>
        <v>484</v>
      </c>
      <c r="M86" s="49">
        <f>SUM(M87:M89)</f>
        <v>591</v>
      </c>
      <c r="N86" s="45">
        <f>M82</f>
        <v>524</v>
      </c>
      <c r="O86" s="42" t="str">
        <f>A82</f>
        <v>RAKTOOM</v>
      </c>
      <c r="P86" s="45">
        <f>SUM(P87:P89)</f>
        <v>471</v>
      </c>
      <c r="Q86" s="49">
        <f>SUM(Q87:Q89)</f>
        <v>578</v>
      </c>
      <c r="R86" s="45">
        <f>Q70</f>
        <v>530</v>
      </c>
      <c r="S86" s="42" t="str">
        <f>A70</f>
        <v>Värska Vesi</v>
      </c>
      <c r="T86" s="133">
        <f>SUM(T87:T89)</f>
        <v>504</v>
      </c>
      <c r="U86" s="49">
        <f>SUM(U87:U89)</f>
        <v>611</v>
      </c>
      <c r="V86" s="45">
        <f>U78</f>
        <v>609</v>
      </c>
      <c r="W86" s="42" t="str">
        <f>A78</f>
        <v>STIK</v>
      </c>
      <c r="X86" s="36">
        <f t="shared" si="2"/>
        <v>2817</v>
      </c>
      <c r="Y86" s="105">
        <f>X86-5*C86</f>
        <v>2282</v>
      </c>
      <c r="Z86" s="65">
        <f>AVERAGE(Z87,Z88,Z89)</f>
        <v>187.79999999999998</v>
      </c>
      <c r="AA86" s="65">
        <f>AVERAGE(AA87,AA88,AA89)</f>
        <v>152.13333333333333</v>
      </c>
      <c r="AB86" s="219">
        <f>F87+J87+N87+R87+V87</f>
        <v>3</v>
      </c>
    </row>
    <row r="87" spans="1:28" s="38" customFormat="1" ht="15.75" customHeight="1">
      <c r="A87" s="222" t="s">
        <v>286</v>
      </c>
      <c r="B87" s="223"/>
      <c r="C87" s="159">
        <v>32</v>
      </c>
      <c r="D87" s="59">
        <v>121</v>
      </c>
      <c r="E87" s="50">
        <f>D87+C87</f>
        <v>153</v>
      </c>
      <c r="F87" s="224">
        <v>0</v>
      </c>
      <c r="G87" s="225"/>
      <c r="H87" s="97">
        <v>119</v>
      </c>
      <c r="I87" s="46">
        <f>H87+C87</f>
        <v>151</v>
      </c>
      <c r="J87" s="224">
        <v>0</v>
      </c>
      <c r="K87" s="225"/>
      <c r="L87" s="97">
        <v>167</v>
      </c>
      <c r="M87" s="50">
        <f>L87+C87</f>
        <v>199</v>
      </c>
      <c r="N87" s="224">
        <v>1</v>
      </c>
      <c r="O87" s="225"/>
      <c r="P87" s="97">
        <v>173</v>
      </c>
      <c r="Q87" s="50">
        <f>P87+C87</f>
        <v>205</v>
      </c>
      <c r="R87" s="224">
        <v>1</v>
      </c>
      <c r="S87" s="225"/>
      <c r="T87" s="97">
        <v>178</v>
      </c>
      <c r="U87" s="50">
        <f>T87+C87</f>
        <v>210</v>
      </c>
      <c r="V87" s="224">
        <v>1</v>
      </c>
      <c r="W87" s="225"/>
      <c r="X87" s="46">
        <f t="shared" si="2"/>
        <v>918</v>
      </c>
      <c r="Y87" s="106">
        <f>D87+H87+L87+P87+T87</f>
        <v>758</v>
      </c>
      <c r="Z87" s="67">
        <f>AVERAGE(E87,I87,M87,Q87,U87)</f>
        <v>183.6</v>
      </c>
      <c r="AA87" s="67">
        <f>AVERAGE(E87,I87,M87,Q87,U87)-C87</f>
        <v>151.6</v>
      </c>
      <c r="AB87" s="220"/>
    </row>
    <row r="88" spans="1:28" s="38" customFormat="1" ht="15.75" customHeight="1">
      <c r="A88" s="222" t="s">
        <v>98</v>
      </c>
      <c r="B88" s="223"/>
      <c r="C88" s="159">
        <v>50</v>
      </c>
      <c r="D88" s="59">
        <v>122</v>
      </c>
      <c r="E88" s="50">
        <f>D88+C88</f>
        <v>172</v>
      </c>
      <c r="F88" s="226"/>
      <c r="G88" s="227"/>
      <c r="H88" s="98">
        <v>134</v>
      </c>
      <c r="I88" s="46">
        <f>H88+C88</f>
        <v>184</v>
      </c>
      <c r="J88" s="226"/>
      <c r="K88" s="227"/>
      <c r="L88" s="98">
        <v>158</v>
      </c>
      <c r="M88" s="50">
        <f>L88+C88</f>
        <v>208</v>
      </c>
      <c r="N88" s="226"/>
      <c r="O88" s="227"/>
      <c r="P88" s="98">
        <v>128</v>
      </c>
      <c r="Q88" s="50">
        <f>P88+C88</f>
        <v>178</v>
      </c>
      <c r="R88" s="226"/>
      <c r="S88" s="227"/>
      <c r="T88" s="98">
        <v>117</v>
      </c>
      <c r="U88" s="50">
        <f>T88+C88</f>
        <v>167</v>
      </c>
      <c r="V88" s="226"/>
      <c r="W88" s="227"/>
      <c r="X88" s="46">
        <f t="shared" si="2"/>
        <v>909</v>
      </c>
      <c r="Y88" s="106">
        <f>D88+H88+L88+P88+T88</f>
        <v>659</v>
      </c>
      <c r="Z88" s="67">
        <f>AVERAGE(E88,I88,M88,Q88,U88)</f>
        <v>181.8</v>
      </c>
      <c r="AA88" s="67">
        <f>AVERAGE(E88,I88,M88,Q88,U88)-C88</f>
        <v>131.8</v>
      </c>
      <c r="AB88" s="220"/>
    </row>
    <row r="89" spans="1:28" s="38" customFormat="1" ht="15.75" customHeight="1" thickBot="1">
      <c r="A89" s="229" t="s">
        <v>91</v>
      </c>
      <c r="B89" s="230"/>
      <c r="C89" s="160">
        <v>25</v>
      </c>
      <c r="D89" s="60">
        <v>159</v>
      </c>
      <c r="E89" s="51">
        <f>D89+C89</f>
        <v>184</v>
      </c>
      <c r="F89" s="204"/>
      <c r="G89" s="228"/>
      <c r="H89" s="99">
        <v>168</v>
      </c>
      <c r="I89" s="47">
        <f>H89+C89</f>
        <v>193</v>
      </c>
      <c r="J89" s="204"/>
      <c r="K89" s="228"/>
      <c r="L89" s="99">
        <v>159</v>
      </c>
      <c r="M89" s="51">
        <f>L89+C89</f>
        <v>184</v>
      </c>
      <c r="N89" s="204"/>
      <c r="O89" s="228"/>
      <c r="P89" s="99">
        <v>170</v>
      </c>
      <c r="Q89" s="51">
        <f>P89+C89</f>
        <v>195</v>
      </c>
      <c r="R89" s="204"/>
      <c r="S89" s="228"/>
      <c r="T89" s="99">
        <v>209</v>
      </c>
      <c r="U89" s="51">
        <f>T89+C89</f>
        <v>234</v>
      </c>
      <c r="V89" s="204"/>
      <c r="W89" s="228"/>
      <c r="X89" s="47">
        <f t="shared" si="2"/>
        <v>990</v>
      </c>
      <c r="Y89" s="107">
        <f>D89+H89+L89+P89+T89</f>
        <v>865</v>
      </c>
      <c r="Z89" s="68">
        <f>AVERAGE(E89,I89,M89,Q89,U89)</f>
        <v>198</v>
      </c>
      <c r="AA89" s="68">
        <f>AVERAGE(E89,I89,M89,Q89,U89)-C89</f>
        <v>173</v>
      </c>
      <c r="AB89" s="221"/>
    </row>
    <row r="90" spans="1:28" s="40" customFormat="1" ht="45" customHeight="1">
      <c r="A90" s="39"/>
      <c r="B90" s="39"/>
      <c r="C90" s="161"/>
      <c r="D90" s="61"/>
      <c r="E90" s="22"/>
      <c r="F90" s="22"/>
      <c r="G90" s="22"/>
      <c r="H90" s="83"/>
      <c r="I90" s="22"/>
      <c r="J90" s="22"/>
      <c r="K90" s="22"/>
      <c r="L90" s="83"/>
      <c r="M90" s="22"/>
      <c r="N90" s="22"/>
      <c r="O90" s="22"/>
      <c r="P90" s="83"/>
      <c r="Q90" s="22"/>
      <c r="R90" s="22"/>
      <c r="S90" s="22"/>
      <c r="T90" s="83"/>
      <c r="U90" s="22"/>
      <c r="V90" s="24"/>
      <c r="W90" s="25"/>
      <c r="Y90" s="57"/>
      <c r="Z90" s="41"/>
      <c r="AA90" s="121"/>
      <c r="AB90" s="25"/>
    </row>
    <row r="91" spans="1:28" s="40" customFormat="1" ht="16.5" customHeight="1">
      <c r="A91" s="233" t="s">
        <v>280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4"/>
      <c r="W91" s="25"/>
      <c r="Y91" s="57"/>
      <c r="Z91" s="41"/>
      <c r="AA91" s="121"/>
      <c r="AB91" s="25"/>
    </row>
    <row r="92" spans="1:28" s="40" customFormat="1" ht="3" customHeight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4"/>
      <c r="W92" s="25"/>
      <c r="Y92" s="57"/>
      <c r="Z92" s="41"/>
      <c r="AA92" s="121"/>
      <c r="AB92" s="25"/>
    </row>
    <row r="93" spans="1:28" s="40" customFormat="1" ht="18.75" customHeight="1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5"/>
      <c r="W93" s="25"/>
      <c r="Y93" s="57"/>
      <c r="Z93" s="41"/>
      <c r="AA93" s="121"/>
      <c r="AB93" s="25"/>
    </row>
    <row r="94" spans="1:28" s="31" customFormat="1" ht="15.75" customHeight="1">
      <c r="A94" s="209" t="s">
        <v>0</v>
      </c>
      <c r="B94" s="210"/>
      <c r="C94" s="156" t="s">
        <v>39</v>
      </c>
      <c r="D94" s="55"/>
      <c r="E94" s="27" t="s">
        <v>1</v>
      </c>
      <c r="F94" s="211" t="s">
        <v>2</v>
      </c>
      <c r="G94" s="212"/>
      <c r="H94" s="94"/>
      <c r="I94" s="27" t="s">
        <v>3</v>
      </c>
      <c r="J94" s="211" t="s">
        <v>2</v>
      </c>
      <c r="K94" s="212"/>
      <c r="L94" s="94"/>
      <c r="M94" s="27" t="s">
        <v>4</v>
      </c>
      <c r="N94" s="211" t="s">
        <v>2</v>
      </c>
      <c r="O94" s="212"/>
      <c r="P94" s="94"/>
      <c r="Q94" s="27" t="s">
        <v>5</v>
      </c>
      <c r="R94" s="211" t="s">
        <v>2</v>
      </c>
      <c r="S94" s="212"/>
      <c r="T94" s="94"/>
      <c r="U94" s="27" t="s">
        <v>6</v>
      </c>
      <c r="V94" s="211" t="s">
        <v>2</v>
      </c>
      <c r="W94" s="212"/>
      <c r="X94" s="28" t="s">
        <v>7</v>
      </c>
      <c r="Y94" s="104"/>
      <c r="Z94" s="29" t="s">
        <v>40</v>
      </c>
      <c r="AA94" s="52" t="s">
        <v>42</v>
      </c>
      <c r="AB94" s="30" t="s">
        <v>7</v>
      </c>
    </row>
    <row r="95" spans="1:28" s="31" customFormat="1" ht="15.75" customHeight="1" thickBot="1">
      <c r="A95" s="213" t="s">
        <v>9</v>
      </c>
      <c r="B95" s="214"/>
      <c r="C95" s="157"/>
      <c r="D95" s="56"/>
      <c r="E95" s="32" t="s">
        <v>10</v>
      </c>
      <c r="F95" s="211" t="s">
        <v>11</v>
      </c>
      <c r="G95" s="212"/>
      <c r="H95" s="95"/>
      <c r="I95" s="32" t="s">
        <v>10</v>
      </c>
      <c r="J95" s="215" t="s">
        <v>11</v>
      </c>
      <c r="K95" s="216"/>
      <c r="L95" s="95"/>
      <c r="M95" s="32" t="s">
        <v>10</v>
      </c>
      <c r="N95" s="215" t="s">
        <v>11</v>
      </c>
      <c r="O95" s="216"/>
      <c r="P95" s="95"/>
      <c r="Q95" s="32" t="s">
        <v>10</v>
      </c>
      <c r="R95" s="215" t="s">
        <v>11</v>
      </c>
      <c r="S95" s="216"/>
      <c r="T95" s="95"/>
      <c r="U95" s="32" t="s">
        <v>10</v>
      </c>
      <c r="V95" s="215" t="s">
        <v>11</v>
      </c>
      <c r="W95" s="216"/>
      <c r="X95" s="33" t="s">
        <v>10</v>
      </c>
      <c r="Y95" s="84"/>
      <c r="Z95" s="34" t="s">
        <v>41</v>
      </c>
      <c r="AA95" s="53" t="s">
        <v>43</v>
      </c>
      <c r="AB95" s="35" t="s">
        <v>12</v>
      </c>
    </row>
    <row r="96" spans="1:28" s="38" customFormat="1" ht="42" customHeight="1">
      <c r="A96" s="217" t="s">
        <v>15</v>
      </c>
      <c r="B96" s="218"/>
      <c r="C96" s="158">
        <f>SUM(C97:C99)</f>
        <v>123</v>
      </c>
      <c r="D96" s="62">
        <f>SUM(D97:D99)</f>
        <v>385</v>
      </c>
      <c r="E96" s="63">
        <f>SUM(E97:E99)</f>
        <v>508</v>
      </c>
      <c r="F96" s="46">
        <f>E116</f>
        <v>493</v>
      </c>
      <c r="G96" s="64" t="str">
        <f>A116</f>
        <v>Lajos 2</v>
      </c>
      <c r="H96" s="62">
        <f>SUM(H97:H99)</f>
        <v>428</v>
      </c>
      <c r="I96" s="49">
        <f>SUM(I97:I99)</f>
        <v>551</v>
      </c>
      <c r="J96" s="49">
        <f>I112</f>
        <v>689</v>
      </c>
      <c r="K96" s="42" t="str">
        <f>A112</f>
        <v>A.E.J.</v>
      </c>
      <c r="L96" s="49">
        <f>SUM(L97:L99)</f>
        <v>442</v>
      </c>
      <c r="M96" s="45">
        <f>SUM(M97:M99)</f>
        <v>565</v>
      </c>
      <c r="N96" s="45">
        <f>M108</f>
        <v>597</v>
      </c>
      <c r="O96" s="42" t="str">
        <f>A108</f>
        <v>Vest-Wood 1</v>
      </c>
      <c r="P96" s="45">
        <f>SUM(P97:P99)</f>
        <v>367</v>
      </c>
      <c r="Q96" s="45">
        <f>SUM(Q97:Q99)</f>
        <v>490</v>
      </c>
      <c r="R96" s="45">
        <f>Q104</f>
        <v>485</v>
      </c>
      <c r="S96" s="42" t="str">
        <f>A104</f>
        <v>Penn&amp;Pärlin</v>
      </c>
      <c r="T96" s="133">
        <f>SUM(T97:T99)</f>
        <v>353</v>
      </c>
      <c r="U96" s="45">
        <f>SUM(U97:U99)</f>
        <v>476</v>
      </c>
      <c r="V96" s="45">
        <f>U100</f>
        <v>547</v>
      </c>
      <c r="W96" s="42" t="str">
        <f>A100</f>
        <v>AVR Projekt</v>
      </c>
      <c r="X96" s="36">
        <f aca="true" t="shared" si="3" ref="X96:X119">E96+I96+M96+Q96+U96</f>
        <v>2590</v>
      </c>
      <c r="Y96" s="105">
        <f>X96-5*C96</f>
        <v>1975</v>
      </c>
      <c r="Z96" s="37">
        <f>AVERAGE(Z97,Z98,Z99)</f>
        <v>172.66666666666666</v>
      </c>
      <c r="AA96" s="65">
        <f>AVERAGE(AA97,AA98,AA99)</f>
        <v>131.66666666666666</v>
      </c>
      <c r="AB96" s="219">
        <f>F97+J97+N97+R97+V97</f>
        <v>2</v>
      </c>
    </row>
    <row r="97" spans="1:28" s="38" customFormat="1" ht="15.75" customHeight="1">
      <c r="A97" s="222" t="s">
        <v>49</v>
      </c>
      <c r="B97" s="223"/>
      <c r="C97" s="159">
        <v>25</v>
      </c>
      <c r="D97" s="59">
        <v>131</v>
      </c>
      <c r="E97" s="50">
        <f>D97+C97</f>
        <v>156</v>
      </c>
      <c r="F97" s="224">
        <v>1</v>
      </c>
      <c r="G97" s="225"/>
      <c r="H97" s="97">
        <v>140</v>
      </c>
      <c r="I97" s="46">
        <f>H97+C97</f>
        <v>165</v>
      </c>
      <c r="J97" s="224">
        <v>0</v>
      </c>
      <c r="K97" s="225"/>
      <c r="L97" s="97">
        <v>148</v>
      </c>
      <c r="M97" s="50">
        <f>L97+C97</f>
        <v>173</v>
      </c>
      <c r="N97" s="224">
        <v>0</v>
      </c>
      <c r="O97" s="225"/>
      <c r="P97" s="97">
        <v>103</v>
      </c>
      <c r="Q97" s="50">
        <f>P97+C97</f>
        <v>128</v>
      </c>
      <c r="R97" s="224">
        <v>1</v>
      </c>
      <c r="S97" s="225"/>
      <c r="T97" s="97">
        <v>104</v>
      </c>
      <c r="U97" s="50">
        <f>T97+C97</f>
        <v>129</v>
      </c>
      <c r="V97" s="224">
        <v>0</v>
      </c>
      <c r="W97" s="225"/>
      <c r="X97" s="46">
        <f t="shared" si="3"/>
        <v>751</v>
      </c>
      <c r="Y97" s="106">
        <f>D97+H97+L97+P97+T97</f>
        <v>626</v>
      </c>
      <c r="Z97" s="67">
        <f>AVERAGE(E97,I97,M97,Q97,U97)</f>
        <v>150.2</v>
      </c>
      <c r="AA97" s="67">
        <f>AVERAGE(E97,I97,M97,Q97,U97)-C97</f>
        <v>125.19999999999999</v>
      </c>
      <c r="AB97" s="220"/>
    </row>
    <row r="98" spans="1:28" s="38" customFormat="1" ht="15.75" customHeight="1">
      <c r="A98" s="222" t="s">
        <v>275</v>
      </c>
      <c r="B98" s="223"/>
      <c r="C98" s="159">
        <v>56</v>
      </c>
      <c r="D98" s="59">
        <v>103</v>
      </c>
      <c r="E98" s="50">
        <f>D98+C98</f>
        <v>159</v>
      </c>
      <c r="F98" s="226"/>
      <c r="G98" s="227"/>
      <c r="H98" s="98">
        <v>123</v>
      </c>
      <c r="I98" s="46">
        <f>H98+C98</f>
        <v>179</v>
      </c>
      <c r="J98" s="226"/>
      <c r="K98" s="227"/>
      <c r="L98" s="98">
        <v>140</v>
      </c>
      <c r="M98" s="50">
        <f>L98+C98</f>
        <v>196</v>
      </c>
      <c r="N98" s="226"/>
      <c r="O98" s="227"/>
      <c r="P98" s="98">
        <v>125</v>
      </c>
      <c r="Q98" s="50">
        <f>P98+C98</f>
        <v>181</v>
      </c>
      <c r="R98" s="226"/>
      <c r="S98" s="227"/>
      <c r="T98" s="98">
        <v>115</v>
      </c>
      <c r="U98" s="50">
        <f>T98+C98</f>
        <v>171</v>
      </c>
      <c r="V98" s="226"/>
      <c r="W98" s="227"/>
      <c r="X98" s="46">
        <f t="shared" si="3"/>
        <v>886</v>
      </c>
      <c r="Y98" s="106">
        <f>D98+H98+L98+P98+T98</f>
        <v>606</v>
      </c>
      <c r="Z98" s="67">
        <f>AVERAGE(E98,I98,M98,Q98,U98)</f>
        <v>177.2</v>
      </c>
      <c r="AA98" s="67">
        <f>AVERAGE(E98,I98,M98,Q98,U98)-C98</f>
        <v>121.19999999999999</v>
      </c>
      <c r="AB98" s="220"/>
    </row>
    <row r="99" spans="1:28" s="38" customFormat="1" ht="16.5" customHeight="1" thickBot="1">
      <c r="A99" s="229" t="s">
        <v>276</v>
      </c>
      <c r="B99" s="230"/>
      <c r="C99" s="160">
        <v>42</v>
      </c>
      <c r="D99" s="60">
        <v>151</v>
      </c>
      <c r="E99" s="50">
        <f>D99+C99</f>
        <v>193</v>
      </c>
      <c r="F99" s="204"/>
      <c r="G99" s="228"/>
      <c r="H99" s="99">
        <v>165</v>
      </c>
      <c r="I99" s="46">
        <f>H99+C99</f>
        <v>207</v>
      </c>
      <c r="J99" s="204"/>
      <c r="K99" s="228"/>
      <c r="L99" s="99">
        <v>154</v>
      </c>
      <c r="M99" s="50">
        <f>L99+C99</f>
        <v>196</v>
      </c>
      <c r="N99" s="204"/>
      <c r="O99" s="228"/>
      <c r="P99" s="99">
        <v>139</v>
      </c>
      <c r="Q99" s="50">
        <f>P99+C99</f>
        <v>181</v>
      </c>
      <c r="R99" s="204"/>
      <c r="S99" s="228"/>
      <c r="T99" s="99">
        <v>134</v>
      </c>
      <c r="U99" s="50">
        <f>T99+C99</f>
        <v>176</v>
      </c>
      <c r="V99" s="204"/>
      <c r="W99" s="228"/>
      <c r="X99" s="47">
        <f t="shared" si="3"/>
        <v>953</v>
      </c>
      <c r="Y99" s="107">
        <f>D99+H99+L99+P99+T99</f>
        <v>743</v>
      </c>
      <c r="Z99" s="68">
        <f>AVERAGE(E99,I99,M99,Q99,U99)</f>
        <v>190.6</v>
      </c>
      <c r="AA99" s="68">
        <f>AVERAGE(E99,I99,M99,Q99,U99)-C99</f>
        <v>148.6</v>
      </c>
      <c r="AB99" s="221"/>
    </row>
    <row r="100" spans="1:28" s="38" customFormat="1" ht="41.25" customHeight="1">
      <c r="A100" s="217" t="s">
        <v>163</v>
      </c>
      <c r="B100" s="218"/>
      <c r="C100" s="158">
        <f>SUM(C101:C103)</f>
        <v>180</v>
      </c>
      <c r="D100" s="62">
        <f>SUM(D101:D103)</f>
        <v>347</v>
      </c>
      <c r="E100" s="45">
        <f>SUM(E101:E103)</f>
        <v>527</v>
      </c>
      <c r="F100" s="45">
        <f>E112</f>
        <v>639</v>
      </c>
      <c r="G100" s="42" t="str">
        <f>A112</f>
        <v>A.E.J.</v>
      </c>
      <c r="H100" s="62">
        <f>SUM(H101:H103)</f>
        <v>327</v>
      </c>
      <c r="I100" s="45">
        <f>SUM(I101:I103)</f>
        <v>507</v>
      </c>
      <c r="J100" s="46">
        <f>I108</f>
        <v>534</v>
      </c>
      <c r="K100" s="42" t="str">
        <f>A108</f>
        <v>Vest-Wood 1</v>
      </c>
      <c r="L100" s="45">
        <f>SUM(L101:L103)</f>
        <v>367</v>
      </c>
      <c r="M100" s="49">
        <f>SUM(M101:M103)</f>
        <v>547</v>
      </c>
      <c r="N100" s="45">
        <f>M104</f>
        <v>541</v>
      </c>
      <c r="O100" s="42" t="str">
        <f>A104</f>
        <v>Penn&amp;Pärlin</v>
      </c>
      <c r="P100" s="45">
        <f>SUM(P101:P103)</f>
        <v>320</v>
      </c>
      <c r="Q100" s="49">
        <f>SUM(Q101:Q103)</f>
        <v>500</v>
      </c>
      <c r="R100" s="45">
        <f>Q116</f>
        <v>566</v>
      </c>
      <c r="S100" s="42" t="str">
        <f>A116</f>
        <v>Lajos 2</v>
      </c>
      <c r="T100" s="133">
        <f>SUM(T101:T103)</f>
        <v>367</v>
      </c>
      <c r="U100" s="49">
        <f>SUM(U101:U103)</f>
        <v>547</v>
      </c>
      <c r="V100" s="45">
        <f>U96</f>
        <v>476</v>
      </c>
      <c r="W100" s="42" t="str">
        <f>A96</f>
        <v>FEB</v>
      </c>
      <c r="X100" s="36">
        <f t="shared" si="3"/>
        <v>2628</v>
      </c>
      <c r="Y100" s="105">
        <f>X100-5*C100</f>
        <v>1728</v>
      </c>
      <c r="Z100" s="37">
        <f>AVERAGE(Z101,Z102,Z103)</f>
        <v>175.20000000000002</v>
      </c>
      <c r="AA100" s="37">
        <f>AVERAGE(AA101,AA102,AA103)</f>
        <v>115.2</v>
      </c>
      <c r="AB100" s="220">
        <f>F101+J101+N101+R101+V101</f>
        <v>2</v>
      </c>
    </row>
    <row r="101" spans="1:28" s="38" customFormat="1" ht="15.75" customHeight="1">
      <c r="A101" s="222" t="s">
        <v>156</v>
      </c>
      <c r="B101" s="223"/>
      <c r="C101" s="159">
        <v>60</v>
      </c>
      <c r="D101" s="59">
        <v>119</v>
      </c>
      <c r="E101" s="50">
        <f>D101+C101</f>
        <v>179</v>
      </c>
      <c r="F101" s="224">
        <v>0</v>
      </c>
      <c r="G101" s="225"/>
      <c r="H101" s="97">
        <v>110</v>
      </c>
      <c r="I101" s="46">
        <f>H101+C101</f>
        <v>170</v>
      </c>
      <c r="J101" s="224">
        <v>0</v>
      </c>
      <c r="K101" s="225"/>
      <c r="L101" s="97">
        <v>125</v>
      </c>
      <c r="M101" s="50">
        <f>L101+C101</f>
        <v>185</v>
      </c>
      <c r="N101" s="224">
        <v>1</v>
      </c>
      <c r="O101" s="225"/>
      <c r="P101" s="97">
        <v>108</v>
      </c>
      <c r="Q101" s="50">
        <f>P101+C101</f>
        <v>168</v>
      </c>
      <c r="R101" s="224">
        <v>0</v>
      </c>
      <c r="S101" s="225"/>
      <c r="T101" s="97">
        <v>124</v>
      </c>
      <c r="U101" s="50">
        <f>T101+C101</f>
        <v>184</v>
      </c>
      <c r="V101" s="224">
        <v>1</v>
      </c>
      <c r="W101" s="225"/>
      <c r="X101" s="46">
        <f t="shared" si="3"/>
        <v>886</v>
      </c>
      <c r="Y101" s="106">
        <f>D101+H101+L101+P101+T101</f>
        <v>586</v>
      </c>
      <c r="Z101" s="67">
        <f>AVERAGE(E101,I101,M101,Q101,U101)</f>
        <v>177.2</v>
      </c>
      <c r="AA101" s="67">
        <f>AVERAGE(E101,I101,M101,Q101,U101)-C101</f>
        <v>117.19999999999999</v>
      </c>
      <c r="AB101" s="220"/>
    </row>
    <row r="102" spans="1:28" s="38" customFormat="1" ht="15.75" customHeight="1">
      <c r="A102" s="222" t="s">
        <v>157</v>
      </c>
      <c r="B102" s="223"/>
      <c r="C102" s="159">
        <v>60</v>
      </c>
      <c r="D102" s="59">
        <v>124</v>
      </c>
      <c r="E102" s="50">
        <f>D102+C102</f>
        <v>184</v>
      </c>
      <c r="F102" s="226"/>
      <c r="G102" s="227"/>
      <c r="H102" s="98">
        <v>105</v>
      </c>
      <c r="I102" s="46">
        <f>H102+C102</f>
        <v>165</v>
      </c>
      <c r="J102" s="226"/>
      <c r="K102" s="227"/>
      <c r="L102" s="98">
        <v>122</v>
      </c>
      <c r="M102" s="50">
        <f>L102+C102</f>
        <v>182</v>
      </c>
      <c r="N102" s="226"/>
      <c r="O102" s="227"/>
      <c r="P102" s="98">
        <v>105</v>
      </c>
      <c r="Q102" s="50">
        <f>P102+C102</f>
        <v>165</v>
      </c>
      <c r="R102" s="226"/>
      <c r="S102" s="227"/>
      <c r="T102" s="98">
        <v>138</v>
      </c>
      <c r="U102" s="50">
        <f>T102+C102</f>
        <v>198</v>
      </c>
      <c r="V102" s="226"/>
      <c r="W102" s="227"/>
      <c r="X102" s="46">
        <f t="shared" si="3"/>
        <v>894</v>
      </c>
      <c r="Y102" s="106">
        <f>D102+H102+L102+P102+T102</f>
        <v>594</v>
      </c>
      <c r="Z102" s="67">
        <f>AVERAGE(E102,I102,M102,Q102,U102)</f>
        <v>178.8</v>
      </c>
      <c r="AA102" s="67">
        <f>AVERAGE(E102,I102,M102,Q102,U102)-C102</f>
        <v>118.80000000000001</v>
      </c>
      <c r="AB102" s="220"/>
    </row>
    <row r="103" spans="1:28" s="38" customFormat="1" ht="15.75" customHeight="1" thickBot="1">
      <c r="A103" s="229" t="s">
        <v>158</v>
      </c>
      <c r="B103" s="230"/>
      <c r="C103" s="160">
        <v>60</v>
      </c>
      <c r="D103" s="60">
        <v>104</v>
      </c>
      <c r="E103" s="50">
        <f>D103+C103</f>
        <v>164</v>
      </c>
      <c r="F103" s="204"/>
      <c r="G103" s="228"/>
      <c r="H103" s="99">
        <v>112</v>
      </c>
      <c r="I103" s="46">
        <f>H103+C103</f>
        <v>172</v>
      </c>
      <c r="J103" s="204"/>
      <c r="K103" s="228"/>
      <c r="L103" s="99">
        <v>120</v>
      </c>
      <c r="M103" s="50">
        <f>L103+C103</f>
        <v>180</v>
      </c>
      <c r="N103" s="204"/>
      <c r="O103" s="228"/>
      <c r="P103" s="99">
        <v>107</v>
      </c>
      <c r="Q103" s="50">
        <f>P103+C103</f>
        <v>167</v>
      </c>
      <c r="R103" s="204"/>
      <c r="S103" s="228"/>
      <c r="T103" s="99">
        <v>105</v>
      </c>
      <c r="U103" s="50">
        <f>T103+C103</f>
        <v>165</v>
      </c>
      <c r="V103" s="204"/>
      <c r="W103" s="228"/>
      <c r="X103" s="47">
        <f t="shared" si="3"/>
        <v>848</v>
      </c>
      <c r="Y103" s="107">
        <f>D103+H103+L103+P103+T103</f>
        <v>548</v>
      </c>
      <c r="Z103" s="68">
        <f>AVERAGE(E103,I103,M103,Q103,U103)</f>
        <v>169.6</v>
      </c>
      <c r="AA103" s="68">
        <f>AVERAGE(E103,I103,M103,Q103,U103)-C103</f>
        <v>109.6</v>
      </c>
      <c r="AB103" s="221"/>
    </row>
    <row r="104" spans="1:28" s="38" customFormat="1" ht="47.25" customHeight="1">
      <c r="A104" s="217" t="s">
        <v>227</v>
      </c>
      <c r="B104" s="218"/>
      <c r="C104" s="158">
        <f>SUM(C105:C107)</f>
        <v>88</v>
      </c>
      <c r="D104" s="62">
        <f>SUM(D105:D107)</f>
        <v>453</v>
      </c>
      <c r="E104" s="45">
        <f>SUM(E105:E107)</f>
        <v>541</v>
      </c>
      <c r="F104" s="45">
        <f>E108</f>
        <v>590</v>
      </c>
      <c r="G104" s="42" t="str">
        <f>A108</f>
        <v>Vest-Wood 1</v>
      </c>
      <c r="H104" s="62">
        <f>SUM(H105:H107)</f>
        <v>409</v>
      </c>
      <c r="I104" s="45">
        <f>SUM(I105:I107)</f>
        <v>497</v>
      </c>
      <c r="J104" s="45">
        <f>I116</f>
        <v>636</v>
      </c>
      <c r="K104" s="42" t="str">
        <f>A116</f>
        <v>Lajos 2</v>
      </c>
      <c r="L104" s="45">
        <f>SUM(L105:L107)</f>
        <v>453</v>
      </c>
      <c r="M104" s="69">
        <f>SUM(M105:M107)</f>
        <v>541</v>
      </c>
      <c r="N104" s="45">
        <f>M100</f>
        <v>547</v>
      </c>
      <c r="O104" s="42" t="str">
        <f>A100</f>
        <v>AVR Projekt</v>
      </c>
      <c r="P104" s="45">
        <f>SUM(P105:P107)</f>
        <v>397</v>
      </c>
      <c r="Q104" s="69">
        <f>SUM(Q105:Q107)</f>
        <v>485</v>
      </c>
      <c r="R104" s="45">
        <f>Q96</f>
        <v>490</v>
      </c>
      <c r="S104" s="42" t="str">
        <f>A96</f>
        <v>FEB</v>
      </c>
      <c r="T104" s="133">
        <f>SUM(T105:T107)</f>
        <v>470</v>
      </c>
      <c r="U104" s="69">
        <f>SUM(U105:U107)</f>
        <v>558</v>
      </c>
      <c r="V104" s="45">
        <f>U112</f>
        <v>606</v>
      </c>
      <c r="W104" s="42" t="str">
        <f>A112</f>
        <v>A.E.J.</v>
      </c>
      <c r="X104" s="36">
        <f t="shared" si="3"/>
        <v>2622</v>
      </c>
      <c r="Y104" s="105">
        <f>X104-5*C104</f>
        <v>2182</v>
      </c>
      <c r="Z104" s="37">
        <f>AVERAGE(Z105,Z106,Z107)</f>
        <v>174.79999999999998</v>
      </c>
      <c r="AA104" s="37">
        <f>AVERAGE(AA105,AA106,AA107)</f>
        <v>145.46666666666667</v>
      </c>
      <c r="AB104" s="219">
        <f>F105+J105+N105+R105+V105</f>
        <v>0</v>
      </c>
    </row>
    <row r="105" spans="1:28" s="38" customFormat="1" ht="15.75" customHeight="1">
      <c r="A105" s="222" t="s">
        <v>214</v>
      </c>
      <c r="B105" s="223"/>
      <c r="C105" s="159">
        <v>35</v>
      </c>
      <c r="D105" s="59">
        <v>161</v>
      </c>
      <c r="E105" s="50">
        <f>D105+C105</f>
        <v>196</v>
      </c>
      <c r="F105" s="224">
        <v>0</v>
      </c>
      <c r="G105" s="225"/>
      <c r="H105" s="97">
        <v>113</v>
      </c>
      <c r="I105" s="46">
        <f>H105+C105</f>
        <v>148</v>
      </c>
      <c r="J105" s="224">
        <v>0</v>
      </c>
      <c r="K105" s="225"/>
      <c r="L105" s="97">
        <v>149</v>
      </c>
      <c r="M105" s="50">
        <f>L105+C105</f>
        <v>184</v>
      </c>
      <c r="N105" s="224">
        <v>0</v>
      </c>
      <c r="O105" s="225"/>
      <c r="P105" s="97">
        <v>132</v>
      </c>
      <c r="Q105" s="50">
        <f>P105+C105</f>
        <v>167</v>
      </c>
      <c r="R105" s="224">
        <v>0</v>
      </c>
      <c r="S105" s="225"/>
      <c r="T105" s="97">
        <v>178</v>
      </c>
      <c r="U105" s="50">
        <f>T105+C105</f>
        <v>213</v>
      </c>
      <c r="V105" s="224">
        <v>0</v>
      </c>
      <c r="W105" s="225"/>
      <c r="X105" s="46">
        <f t="shared" si="3"/>
        <v>908</v>
      </c>
      <c r="Y105" s="106">
        <f>D105+H105+L105+P105+T105</f>
        <v>733</v>
      </c>
      <c r="Z105" s="67">
        <f>AVERAGE(E105,I105,M105,Q105,U105)</f>
        <v>181.6</v>
      </c>
      <c r="AA105" s="67">
        <f>AVERAGE(E105,I105,M105,Q105,U105)-C105</f>
        <v>146.6</v>
      </c>
      <c r="AB105" s="220"/>
    </row>
    <row r="106" spans="1:28" s="38" customFormat="1" ht="15.75" customHeight="1">
      <c r="A106" s="222" t="s">
        <v>212</v>
      </c>
      <c r="B106" s="223"/>
      <c r="C106" s="159">
        <v>11</v>
      </c>
      <c r="D106" s="59">
        <v>158</v>
      </c>
      <c r="E106" s="50">
        <f>D106+C106</f>
        <v>169</v>
      </c>
      <c r="F106" s="226"/>
      <c r="G106" s="227"/>
      <c r="H106" s="98">
        <v>147</v>
      </c>
      <c r="I106" s="46">
        <f>H106+C106</f>
        <v>158</v>
      </c>
      <c r="J106" s="226"/>
      <c r="K106" s="227"/>
      <c r="L106" s="98">
        <v>182</v>
      </c>
      <c r="M106" s="50">
        <f>L106+C106</f>
        <v>193</v>
      </c>
      <c r="N106" s="226"/>
      <c r="O106" s="227"/>
      <c r="P106" s="98">
        <v>137</v>
      </c>
      <c r="Q106" s="50">
        <f>P106+C106</f>
        <v>148</v>
      </c>
      <c r="R106" s="226"/>
      <c r="S106" s="227"/>
      <c r="T106" s="98">
        <v>135</v>
      </c>
      <c r="U106" s="50">
        <f>T106+C106</f>
        <v>146</v>
      </c>
      <c r="V106" s="226"/>
      <c r="W106" s="227"/>
      <c r="X106" s="46">
        <f t="shared" si="3"/>
        <v>814</v>
      </c>
      <c r="Y106" s="106">
        <f>D106+H106+L106+P106+T106</f>
        <v>759</v>
      </c>
      <c r="Z106" s="67">
        <f>AVERAGE(E106,I106,M106,Q106,U106)</f>
        <v>162.8</v>
      </c>
      <c r="AA106" s="67">
        <f>AVERAGE(E106,I106,M106,Q106,U106)-C106</f>
        <v>151.8</v>
      </c>
      <c r="AB106" s="220"/>
    </row>
    <row r="107" spans="1:28" s="38" customFormat="1" ht="15.75" customHeight="1" thickBot="1">
      <c r="A107" s="229" t="s">
        <v>278</v>
      </c>
      <c r="B107" s="230"/>
      <c r="C107" s="160">
        <v>42</v>
      </c>
      <c r="D107" s="60">
        <v>134</v>
      </c>
      <c r="E107" s="50">
        <f>D107+C107</f>
        <v>176</v>
      </c>
      <c r="F107" s="204"/>
      <c r="G107" s="228"/>
      <c r="H107" s="99">
        <v>149</v>
      </c>
      <c r="I107" s="46">
        <f>H107+C107</f>
        <v>191</v>
      </c>
      <c r="J107" s="204"/>
      <c r="K107" s="228"/>
      <c r="L107" s="99">
        <v>122</v>
      </c>
      <c r="M107" s="50">
        <f>L107+C107</f>
        <v>164</v>
      </c>
      <c r="N107" s="204"/>
      <c r="O107" s="228"/>
      <c r="P107" s="99">
        <v>128</v>
      </c>
      <c r="Q107" s="50">
        <f>P107+C107</f>
        <v>170</v>
      </c>
      <c r="R107" s="204"/>
      <c r="S107" s="228"/>
      <c r="T107" s="99">
        <v>157</v>
      </c>
      <c r="U107" s="50">
        <f>T107+C107</f>
        <v>199</v>
      </c>
      <c r="V107" s="204"/>
      <c r="W107" s="228"/>
      <c r="X107" s="47">
        <f t="shared" si="3"/>
        <v>900</v>
      </c>
      <c r="Y107" s="107">
        <f>D107+H107+L107+P107+T107</f>
        <v>690</v>
      </c>
      <c r="Z107" s="68">
        <f>AVERAGE(E107,I107,M107,Q107,U107)</f>
        <v>180</v>
      </c>
      <c r="AA107" s="68">
        <f>AVERAGE(E107,I107,M107,Q107,U107)-C107</f>
        <v>138</v>
      </c>
      <c r="AB107" s="221"/>
    </row>
    <row r="108" spans="1:28" s="38" customFormat="1" ht="39" customHeight="1">
      <c r="A108" s="217" t="s">
        <v>173</v>
      </c>
      <c r="B108" s="218"/>
      <c r="C108" s="158">
        <f>SUM(C109:C111)</f>
        <v>103</v>
      </c>
      <c r="D108" s="62">
        <f>SUM(D109:D111)</f>
        <v>487</v>
      </c>
      <c r="E108" s="48">
        <f>SUM(E109:E111)</f>
        <v>590</v>
      </c>
      <c r="F108" s="48">
        <f>E104</f>
        <v>541</v>
      </c>
      <c r="G108" s="43" t="str">
        <f>A104</f>
        <v>Penn&amp;Pärlin</v>
      </c>
      <c r="H108" s="62">
        <f>SUM(H109:H111)</f>
        <v>431</v>
      </c>
      <c r="I108" s="48">
        <f>SUM(I109:I111)</f>
        <v>534</v>
      </c>
      <c r="J108" s="48">
        <f>I100</f>
        <v>507</v>
      </c>
      <c r="K108" s="43" t="str">
        <f>A100</f>
        <v>AVR Projekt</v>
      </c>
      <c r="L108" s="48">
        <f>SUM(L109:L111)</f>
        <v>494</v>
      </c>
      <c r="M108" s="49">
        <f>SUM(M109:M111)</f>
        <v>597</v>
      </c>
      <c r="N108" s="48">
        <f>M96</f>
        <v>565</v>
      </c>
      <c r="O108" s="43" t="str">
        <f>A96</f>
        <v>FEB</v>
      </c>
      <c r="P108" s="45">
        <f>SUM(P109:P111)</f>
        <v>529</v>
      </c>
      <c r="Q108" s="49">
        <f>SUM(Q109:Q111)</f>
        <v>632</v>
      </c>
      <c r="R108" s="48">
        <f>Q112</f>
        <v>539</v>
      </c>
      <c r="S108" s="43" t="str">
        <f>A112</f>
        <v>A.E.J.</v>
      </c>
      <c r="T108" s="133">
        <f>SUM(T109:T111)</f>
        <v>454</v>
      </c>
      <c r="U108" s="49">
        <f>SUM(U109:U111)</f>
        <v>557</v>
      </c>
      <c r="V108" s="48">
        <f>U116</f>
        <v>584</v>
      </c>
      <c r="W108" s="43" t="str">
        <f>A116</f>
        <v>Lajos 2</v>
      </c>
      <c r="X108" s="36">
        <f t="shared" si="3"/>
        <v>2910</v>
      </c>
      <c r="Y108" s="105">
        <f>X108-5*C108</f>
        <v>2395</v>
      </c>
      <c r="Z108" s="37">
        <f>AVERAGE(Z109,Z110,Z111)</f>
        <v>194</v>
      </c>
      <c r="AA108" s="37">
        <f>AVERAGE(AA109,AA110,AA111)</f>
        <v>159.66666666666666</v>
      </c>
      <c r="AB108" s="219">
        <f>F109+J109+N109+R109+V109</f>
        <v>4</v>
      </c>
    </row>
    <row r="109" spans="1:28" s="38" customFormat="1" ht="15.75" customHeight="1">
      <c r="A109" s="222" t="s">
        <v>188</v>
      </c>
      <c r="B109" s="223"/>
      <c r="C109" s="159">
        <v>55</v>
      </c>
      <c r="D109" s="59">
        <v>152</v>
      </c>
      <c r="E109" s="50">
        <f>D109+C109</f>
        <v>207</v>
      </c>
      <c r="F109" s="224">
        <v>1</v>
      </c>
      <c r="G109" s="225"/>
      <c r="H109" s="97">
        <v>128</v>
      </c>
      <c r="I109" s="46">
        <f>H109+C109</f>
        <v>183</v>
      </c>
      <c r="J109" s="224">
        <v>1</v>
      </c>
      <c r="K109" s="225"/>
      <c r="L109" s="97">
        <v>136</v>
      </c>
      <c r="M109" s="50">
        <f>L109+C109</f>
        <v>191</v>
      </c>
      <c r="N109" s="224">
        <v>1</v>
      </c>
      <c r="O109" s="225"/>
      <c r="P109" s="97">
        <v>165</v>
      </c>
      <c r="Q109" s="50">
        <f>P109+C109</f>
        <v>220</v>
      </c>
      <c r="R109" s="224">
        <v>1</v>
      </c>
      <c r="S109" s="225"/>
      <c r="T109" s="97">
        <v>136</v>
      </c>
      <c r="U109" s="50">
        <f>T109+C109</f>
        <v>191</v>
      </c>
      <c r="V109" s="224">
        <v>0</v>
      </c>
      <c r="W109" s="225"/>
      <c r="X109" s="46">
        <f t="shared" si="3"/>
        <v>992</v>
      </c>
      <c r="Y109" s="106">
        <f>D109+H109+L109+P109+T109</f>
        <v>717</v>
      </c>
      <c r="Z109" s="67">
        <f>AVERAGE(E109,I109,M109,Q109,U109)</f>
        <v>198.4</v>
      </c>
      <c r="AA109" s="67">
        <f>AVERAGE(E109,I109,M109,Q109,U109)-C109</f>
        <v>143.4</v>
      </c>
      <c r="AB109" s="220"/>
    </row>
    <row r="110" spans="1:28" s="38" customFormat="1" ht="15.75" customHeight="1">
      <c r="A110" s="222" t="s">
        <v>190</v>
      </c>
      <c r="B110" s="223"/>
      <c r="C110" s="159">
        <v>20</v>
      </c>
      <c r="D110" s="59">
        <v>147</v>
      </c>
      <c r="E110" s="50">
        <f>D110+C110</f>
        <v>167</v>
      </c>
      <c r="F110" s="226"/>
      <c r="G110" s="227"/>
      <c r="H110" s="98">
        <v>169</v>
      </c>
      <c r="I110" s="46">
        <f>H110+C110</f>
        <v>189</v>
      </c>
      <c r="J110" s="226"/>
      <c r="K110" s="227"/>
      <c r="L110" s="98">
        <v>179</v>
      </c>
      <c r="M110" s="50">
        <f>L110+C110</f>
        <v>199</v>
      </c>
      <c r="N110" s="226"/>
      <c r="O110" s="227"/>
      <c r="P110" s="98">
        <v>204</v>
      </c>
      <c r="Q110" s="50">
        <f>P110+C110</f>
        <v>224</v>
      </c>
      <c r="R110" s="226"/>
      <c r="S110" s="227"/>
      <c r="T110" s="98">
        <v>169</v>
      </c>
      <c r="U110" s="50">
        <f>T110+C110</f>
        <v>189</v>
      </c>
      <c r="V110" s="226"/>
      <c r="W110" s="227"/>
      <c r="X110" s="46">
        <f t="shared" si="3"/>
        <v>968</v>
      </c>
      <c r="Y110" s="106">
        <f>D110+H110+L110+P110+T110</f>
        <v>868</v>
      </c>
      <c r="Z110" s="67">
        <f>AVERAGE(E110,I110,M110,Q110,U110)</f>
        <v>193.6</v>
      </c>
      <c r="AA110" s="67">
        <f>AVERAGE(E110,I110,M110,Q110,U110)-C110</f>
        <v>173.6</v>
      </c>
      <c r="AB110" s="220"/>
    </row>
    <row r="111" spans="1:29" s="38" customFormat="1" ht="15.75" customHeight="1" thickBot="1">
      <c r="A111" s="229" t="s">
        <v>279</v>
      </c>
      <c r="B111" s="230"/>
      <c r="C111" s="160">
        <v>28</v>
      </c>
      <c r="D111" s="60">
        <v>188</v>
      </c>
      <c r="E111" s="50">
        <f>D111+C111</f>
        <v>216</v>
      </c>
      <c r="F111" s="204"/>
      <c r="G111" s="228"/>
      <c r="H111" s="99">
        <v>134</v>
      </c>
      <c r="I111" s="46">
        <f>H111+C111</f>
        <v>162</v>
      </c>
      <c r="J111" s="204"/>
      <c r="K111" s="228"/>
      <c r="L111" s="99">
        <v>179</v>
      </c>
      <c r="M111" s="50">
        <f>L111+C111</f>
        <v>207</v>
      </c>
      <c r="N111" s="204"/>
      <c r="O111" s="228"/>
      <c r="P111" s="99">
        <v>160</v>
      </c>
      <c r="Q111" s="50">
        <f>P111+C111</f>
        <v>188</v>
      </c>
      <c r="R111" s="204"/>
      <c r="S111" s="228"/>
      <c r="T111" s="99">
        <v>149</v>
      </c>
      <c r="U111" s="50">
        <f>T111+C111</f>
        <v>177</v>
      </c>
      <c r="V111" s="204"/>
      <c r="W111" s="228"/>
      <c r="X111" s="47">
        <f t="shared" si="3"/>
        <v>950</v>
      </c>
      <c r="Y111" s="107">
        <f>D111+H111+L111+P111+T111</f>
        <v>810</v>
      </c>
      <c r="Z111" s="68">
        <f>AVERAGE(E111,I111,M111,Q111,U111)</f>
        <v>190</v>
      </c>
      <c r="AA111" s="68">
        <f>AVERAGE(E111,I111,M111,Q111,U111)-C111</f>
        <v>162</v>
      </c>
      <c r="AB111" s="221"/>
      <c r="AC111" s="44"/>
    </row>
    <row r="112" spans="1:28" s="38" customFormat="1" ht="40.5" customHeight="1">
      <c r="A112" s="217" t="s">
        <v>172</v>
      </c>
      <c r="B112" s="218"/>
      <c r="C112" s="158">
        <f>SUM(C113:C115)</f>
        <v>111</v>
      </c>
      <c r="D112" s="62">
        <f>SUM(D113:D115)</f>
        <v>528</v>
      </c>
      <c r="E112" s="45">
        <f>SUM(E113:E115)</f>
        <v>639</v>
      </c>
      <c r="F112" s="45">
        <f>E100</f>
        <v>527</v>
      </c>
      <c r="G112" s="42" t="str">
        <f>A100</f>
        <v>AVR Projekt</v>
      </c>
      <c r="H112" s="62">
        <f>SUM(H113:H115)</f>
        <v>578</v>
      </c>
      <c r="I112" s="45">
        <f>SUM(I113:I115)</f>
        <v>689</v>
      </c>
      <c r="J112" s="45">
        <f>I96</f>
        <v>551</v>
      </c>
      <c r="K112" s="42" t="str">
        <f>A96</f>
        <v>FEB</v>
      </c>
      <c r="L112" s="45">
        <f>SUM(L113:L115)</f>
        <v>456</v>
      </c>
      <c r="M112" s="69">
        <f>SUM(M113:M115)</f>
        <v>567</v>
      </c>
      <c r="N112" s="45">
        <f>M116</f>
        <v>555</v>
      </c>
      <c r="O112" s="42" t="str">
        <f>A116</f>
        <v>Lajos 2</v>
      </c>
      <c r="P112" s="45">
        <f>SUM(P113:P115)</f>
        <v>428</v>
      </c>
      <c r="Q112" s="69">
        <f>SUM(Q113:Q115)</f>
        <v>539</v>
      </c>
      <c r="R112" s="45">
        <f>Q108</f>
        <v>632</v>
      </c>
      <c r="S112" s="42" t="str">
        <f>A108</f>
        <v>Vest-Wood 1</v>
      </c>
      <c r="T112" s="133">
        <f>SUM(T113:T115)</f>
        <v>495</v>
      </c>
      <c r="U112" s="69">
        <f>SUM(U113:U115)</f>
        <v>606</v>
      </c>
      <c r="V112" s="45">
        <f>U104</f>
        <v>558</v>
      </c>
      <c r="W112" s="42" t="str">
        <f>A104</f>
        <v>Penn&amp;Pärlin</v>
      </c>
      <c r="X112" s="36">
        <f t="shared" si="3"/>
        <v>3040</v>
      </c>
      <c r="Y112" s="105">
        <f>X112-5*C112</f>
        <v>2485</v>
      </c>
      <c r="Z112" s="37">
        <f>AVERAGE(Z113,Z114,Z115)</f>
        <v>202.66666666666666</v>
      </c>
      <c r="AA112" s="37">
        <f>AVERAGE(AA113,AA114,AA115)</f>
        <v>165.66666666666666</v>
      </c>
      <c r="AB112" s="219">
        <f>F113+J113+N113+R113+V113</f>
        <v>4</v>
      </c>
    </row>
    <row r="113" spans="1:28" s="38" customFormat="1" ht="15.75" customHeight="1">
      <c r="A113" s="222" t="s">
        <v>185</v>
      </c>
      <c r="B113" s="223"/>
      <c r="C113" s="159">
        <v>16</v>
      </c>
      <c r="D113" s="59">
        <v>169</v>
      </c>
      <c r="E113" s="50">
        <f>D113+C113</f>
        <v>185</v>
      </c>
      <c r="F113" s="224">
        <v>1</v>
      </c>
      <c r="G113" s="225"/>
      <c r="H113" s="97">
        <v>193</v>
      </c>
      <c r="I113" s="46">
        <f>H113+C113</f>
        <v>209</v>
      </c>
      <c r="J113" s="224">
        <v>1</v>
      </c>
      <c r="K113" s="225"/>
      <c r="L113" s="97">
        <v>167</v>
      </c>
      <c r="M113" s="50">
        <f>L113+C113</f>
        <v>183</v>
      </c>
      <c r="N113" s="224">
        <v>1</v>
      </c>
      <c r="O113" s="225"/>
      <c r="P113" s="97">
        <v>125</v>
      </c>
      <c r="Q113" s="50">
        <f>P113+C113</f>
        <v>141</v>
      </c>
      <c r="R113" s="224">
        <v>0</v>
      </c>
      <c r="S113" s="225"/>
      <c r="T113" s="97">
        <v>152</v>
      </c>
      <c r="U113" s="50">
        <f>T113+C113</f>
        <v>168</v>
      </c>
      <c r="V113" s="224">
        <v>1</v>
      </c>
      <c r="W113" s="225"/>
      <c r="X113" s="46">
        <f t="shared" si="3"/>
        <v>886</v>
      </c>
      <c r="Y113" s="106">
        <f>D113+H113+L113+P113+T113</f>
        <v>806</v>
      </c>
      <c r="Z113" s="67">
        <f>AVERAGE(E113,I113,M113,Q113,U113)</f>
        <v>177.2</v>
      </c>
      <c r="AA113" s="67">
        <f>AVERAGE(E113,I113,M113,Q113,U113)-C113</f>
        <v>161.2</v>
      </c>
      <c r="AB113" s="220"/>
    </row>
    <row r="114" spans="1:28" s="38" customFormat="1" ht="15.75" customHeight="1">
      <c r="A114" s="222" t="s">
        <v>277</v>
      </c>
      <c r="B114" s="223"/>
      <c r="C114" s="159">
        <v>60</v>
      </c>
      <c r="D114" s="59">
        <v>155</v>
      </c>
      <c r="E114" s="50">
        <f>D114+C114</f>
        <v>215</v>
      </c>
      <c r="F114" s="226"/>
      <c r="G114" s="227"/>
      <c r="H114" s="98">
        <v>150</v>
      </c>
      <c r="I114" s="46">
        <f>H114+C114</f>
        <v>210</v>
      </c>
      <c r="J114" s="226"/>
      <c r="K114" s="227"/>
      <c r="L114" s="98">
        <v>134</v>
      </c>
      <c r="M114" s="50">
        <f>L114+C114</f>
        <v>194</v>
      </c>
      <c r="N114" s="226"/>
      <c r="O114" s="227"/>
      <c r="P114" s="98">
        <v>156</v>
      </c>
      <c r="Q114" s="50">
        <f>P114+C114</f>
        <v>216</v>
      </c>
      <c r="R114" s="226"/>
      <c r="S114" s="227"/>
      <c r="T114" s="98">
        <v>165</v>
      </c>
      <c r="U114" s="50">
        <f>T114+C114</f>
        <v>225</v>
      </c>
      <c r="V114" s="226"/>
      <c r="W114" s="227"/>
      <c r="X114" s="46">
        <f t="shared" si="3"/>
        <v>1060</v>
      </c>
      <c r="Y114" s="106">
        <f>D114+H114+L114+P114+T114</f>
        <v>760</v>
      </c>
      <c r="Z114" s="67">
        <f>AVERAGE(E114,I114,M114,Q114,U114)</f>
        <v>212</v>
      </c>
      <c r="AA114" s="67">
        <f>AVERAGE(E114,I114,M114,Q114,U114)-C114</f>
        <v>152</v>
      </c>
      <c r="AB114" s="220"/>
    </row>
    <row r="115" spans="1:28" s="38" customFormat="1" ht="15.75" customHeight="1" thickBot="1">
      <c r="A115" s="229" t="s">
        <v>186</v>
      </c>
      <c r="B115" s="230"/>
      <c r="C115" s="160">
        <v>35</v>
      </c>
      <c r="D115" s="60">
        <v>204</v>
      </c>
      <c r="E115" s="50">
        <f>D115+C115</f>
        <v>239</v>
      </c>
      <c r="F115" s="204"/>
      <c r="G115" s="228"/>
      <c r="H115" s="99">
        <v>235</v>
      </c>
      <c r="I115" s="46">
        <f>H115+C115</f>
        <v>270</v>
      </c>
      <c r="J115" s="204"/>
      <c r="K115" s="228"/>
      <c r="L115" s="99">
        <v>155</v>
      </c>
      <c r="M115" s="50">
        <f>L115+C115</f>
        <v>190</v>
      </c>
      <c r="N115" s="204"/>
      <c r="O115" s="228"/>
      <c r="P115" s="99">
        <v>147</v>
      </c>
      <c r="Q115" s="50">
        <f>P115+C115</f>
        <v>182</v>
      </c>
      <c r="R115" s="204"/>
      <c r="S115" s="228"/>
      <c r="T115" s="99">
        <v>178</v>
      </c>
      <c r="U115" s="50">
        <f>T115+C115</f>
        <v>213</v>
      </c>
      <c r="V115" s="204"/>
      <c r="W115" s="228"/>
      <c r="X115" s="47">
        <f t="shared" si="3"/>
        <v>1094</v>
      </c>
      <c r="Y115" s="107">
        <f>D115+H115+L115+P115+T115</f>
        <v>919</v>
      </c>
      <c r="Z115" s="68">
        <f>AVERAGE(E115,I115,M115,Q115,U115)</f>
        <v>218.8</v>
      </c>
      <c r="AA115" s="68">
        <f>AVERAGE(E115,I115,M115,Q115,U115)-C115</f>
        <v>183.8</v>
      </c>
      <c r="AB115" s="221"/>
    </row>
    <row r="116" spans="1:28" s="38" customFormat="1" ht="42" customHeight="1">
      <c r="A116" s="217" t="s">
        <v>161</v>
      </c>
      <c r="B116" s="218"/>
      <c r="C116" s="158">
        <f>SUM(C117:C119)</f>
        <v>142</v>
      </c>
      <c r="D116" s="62">
        <f>SUM(D117:D119)</f>
        <v>351</v>
      </c>
      <c r="E116" s="45">
        <f>SUM(E117:E119)</f>
        <v>493</v>
      </c>
      <c r="F116" s="45">
        <f>E96</f>
        <v>508</v>
      </c>
      <c r="G116" s="42" t="str">
        <f>A96</f>
        <v>FEB</v>
      </c>
      <c r="H116" s="62">
        <f>SUM(H117:H119)</f>
        <v>494</v>
      </c>
      <c r="I116" s="45">
        <f>SUM(I117:I119)</f>
        <v>636</v>
      </c>
      <c r="J116" s="45">
        <f>I104</f>
        <v>497</v>
      </c>
      <c r="K116" s="42" t="str">
        <f>A104</f>
        <v>Penn&amp;Pärlin</v>
      </c>
      <c r="L116" s="45">
        <f>SUM(L117:L119)</f>
        <v>413</v>
      </c>
      <c r="M116" s="49">
        <f>SUM(M117:M119)</f>
        <v>555</v>
      </c>
      <c r="N116" s="45">
        <f>M112</f>
        <v>567</v>
      </c>
      <c r="O116" s="42" t="str">
        <f>A112</f>
        <v>A.E.J.</v>
      </c>
      <c r="P116" s="45">
        <f>SUM(P117:P119)</f>
        <v>424</v>
      </c>
      <c r="Q116" s="49">
        <f>SUM(Q117:Q119)</f>
        <v>566</v>
      </c>
      <c r="R116" s="45">
        <f>Q100</f>
        <v>500</v>
      </c>
      <c r="S116" s="42" t="str">
        <f>A100</f>
        <v>AVR Projekt</v>
      </c>
      <c r="T116" s="133">
        <f>SUM(T117:T119)</f>
        <v>442</v>
      </c>
      <c r="U116" s="49">
        <f>SUM(U117:U119)</f>
        <v>584</v>
      </c>
      <c r="V116" s="45">
        <f>U108</f>
        <v>557</v>
      </c>
      <c r="W116" s="42" t="str">
        <f>A108</f>
        <v>Vest-Wood 1</v>
      </c>
      <c r="X116" s="36">
        <f t="shared" si="3"/>
        <v>2834</v>
      </c>
      <c r="Y116" s="105">
        <f>X116-5*C116</f>
        <v>2124</v>
      </c>
      <c r="Z116" s="37">
        <f>AVERAGE(Z117,Z118,Z119)</f>
        <v>188.9333333333333</v>
      </c>
      <c r="AA116" s="37">
        <f>AVERAGE(AA117,AA118,AA119)</f>
        <v>141.6</v>
      </c>
      <c r="AB116" s="219">
        <f>F117+J117+N117+R117+V117</f>
        <v>3</v>
      </c>
    </row>
    <row r="117" spans="1:28" s="38" customFormat="1" ht="15.75" customHeight="1">
      <c r="A117" s="222" t="s">
        <v>144</v>
      </c>
      <c r="B117" s="223"/>
      <c r="C117" s="159">
        <v>30</v>
      </c>
      <c r="D117" s="59">
        <v>119</v>
      </c>
      <c r="E117" s="50">
        <f>D117+C117</f>
        <v>149</v>
      </c>
      <c r="F117" s="224">
        <v>0</v>
      </c>
      <c r="G117" s="225"/>
      <c r="H117" s="97">
        <v>169</v>
      </c>
      <c r="I117" s="46">
        <f>H117+C117</f>
        <v>199</v>
      </c>
      <c r="J117" s="224">
        <v>1</v>
      </c>
      <c r="K117" s="225"/>
      <c r="L117" s="97">
        <v>137</v>
      </c>
      <c r="M117" s="50">
        <f>L117+C117</f>
        <v>167</v>
      </c>
      <c r="N117" s="224">
        <v>0</v>
      </c>
      <c r="O117" s="225"/>
      <c r="P117" s="97">
        <v>147</v>
      </c>
      <c r="Q117" s="50">
        <f>P117+C117</f>
        <v>177</v>
      </c>
      <c r="R117" s="224">
        <v>1</v>
      </c>
      <c r="S117" s="225"/>
      <c r="T117" s="97">
        <v>137</v>
      </c>
      <c r="U117" s="50">
        <f>T117+C117</f>
        <v>167</v>
      </c>
      <c r="V117" s="224">
        <v>1</v>
      </c>
      <c r="W117" s="225"/>
      <c r="X117" s="46">
        <f t="shared" si="3"/>
        <v>859</v>
      </c>
      <c r="Y117" s="106">
        <f>D117+H117+L117+P117+T117</f>
        <v>709</v>
      </c>
      <c r="Z117" s="67">
        <f>AVERAGE(E117,I117,M117,Q117,U117)</f>
        <v>171.8</v>
      </c>
      <c r="AA117" s="67">
        <f>AVERAGE(E117,I117,M117,Q117,U117)-C117</f>
        <v>141.8</v>
      </c>
      <c r="AB117" s="220"/>
    </row>
    <row r="118" spans="1:28" s="38" customFormat="1" ht="15.75" customHeight="1">
      <c r="A118" s="222" t="s">
        <v>145</v>
      </c>
      <c r="B118" s="223"/>
      <c r="C118" s="159">
        <v>56</v>
      </c>
      <c r="D118" s="59">
        <v>107</v>
      </c>
      <c r="E118" s="50">
        <f>D118+C118</f>
        <v>163</v>
      </c>
      <c r="F118" s="226"/>
      <c r="G118" s="227"/>
      <c r="H118" s="98">
        <v>138</v>
      </c>
      <c r="I118" s="46">
        <f>H118+C118</f>
        <v>194</v>
      </c>
      <c r="J118" s="226"/>
      <c r="K118" s="227"/>
      <c r="L118" s="98">
        <v>127</v>
      </c>
      <c r="M118" s="50">
        <f>L118+C118</f>
        <v>183</v>
      </c>
      <c r="N118" s="226"/>
      <c r="O118" s="227"/>
      <c r="P118" s="98">
        <v>113</v>
      </c>
      <c r="Q118" s="50">
        <f>P118+C118</f>
        <v>169</v>
      </c>
      <c r="R118" s="226"/>
      <c r="S118" s="227"/>
      <c r="T118" s="98">
        <v>158</v>
      </c>
      <c r="U118" s="50">
        <f>T118+C118</f>
        <v>214</v>
      </c>
      <c r="V118" s="226"/>
      <c r="W118" s="227"/>
      <c r="X118" s="46">
        <f t="shared" si="3"/>
        <v>923</v>
      </c>
      <c r="Y118" s="106">
        <f>D118+H118+L118+P118+T118</f>
        <v>643</v>
      </c>
      <c r="Z118" s="67">
        <f>AVERAGE(E118,I118,M118,Q118,U118)</f>
        <v>184.6</v>
      </c>
      <c r="AA118" s="67">
        <f>AVERAGE(E118,I118,M118,Q118,U118)-C118</f>
        <v>128.6</v>
      </c>
      <c r="AB118" s="220"/>
    </row>
    <row r="119" spans="1:28" s="38" customFormat="1" ht="15.75" customHeight="1" thickBot="1">
      <c r="A119" s="229" t="s">
        <v>146</v>
      </c>
      <c r="B119" s="230"/>
      <c r="C119" s="160">
        <v>56</v>
      </c>
      <c r="D119" s="60">
        <v>125</v>
      </c>
      <c r="E119" s="50">
        <f>D119+C119</f>
        <v>181</v>
      </c>
      <c r="F119" s="204"/>
      <c r="G119" s="228"/>
      <c r="H119" s="99">
        <v>187</v>
      </c>
      <c r="I119" s="46">
        <f>H119+C119</f>
        <v>243</v>
      </c>
      <c r="J119" s="204"/>
      <c r="K119" s="228"/>
      <c r="L119" s="99">
        <v>149</v>
      </c>
      <c r="M119" s="50">
        <f>L119+C119</f>
        <v>205</v>
      </c>
      <c r="N119" s="204"/>
      <c r="O119" s="228"/>
      <c r="P119" s="99">
        <v>164</v>
      </c>
      <c r="Q119" s="50">
        <f>P119+C119</f>
        <v>220</v>
      </c>
      <c r="R119" s="204"/>
      <c r="S119" s="228"/>
      <c r="T119" s="99">
        <v>147</v>
      </c>
      <c r="U119" s="50">
        <f>T119+C119</f>
        <v>203</v>
      </c>
      <c r="V119" s="204"/>
      <c r="W119" s="228"/>
      <c r="X119" s="47">
        <f t="shared" si="3"/>
        <v>1052</v>
      </c>
      <c r="Y119" s="107">
        <f>D119+H119+L119+P119+T119</f>
        <v>772</v>
      </c>
      <c r="Z119" s="68">
        <f>AVERAGE(E119,I119,M119,Q119,U119)</f>
        <v>210.4</v>
      </c>
      <c r="AA119" s="68">
        <f>AVERAGE(E119,I119,M119,Q119,U119)-C119</f>
        <v>154.4</v>
      </c>
      <c r="AB119" s="221"/>
    </row>
    <row r="120" spans="1:28" s="40" customFormat="1" ht="45" customHeight="1">
      <c r="A120" s="233" t="s">
        <v>274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4"/>
      <c r="W120" s="25"/>
      <c r="Y120" s="57"/>
      <c r="Z120" s="41"/>
      <c r="AA120" s="121"/>
      <c r="AB120" s="25"/>
    </row>
    <row r="121" spans="1:28" s="40" customFormat="1" ht="4.5" customHeight="1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4"/>
      <c r="W121" s="25"/>
      <c r="Y121" s="57"/>
      <c r="Z121" s="41"/>
      <c r="AA121" s="121"/>
      <c r="AB121" s="25"/>
    </row>
    <row r="122" spans="1:28" s="40" customFormat="1" ht="4.5" customHeight="1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4"/>
      <c r="W122" s="25"/>
      <c r="Y122" s="57"/>
      <c r="Z122" s="41"/>
      <c r="AA122" s="121"/>
      <c r="AB122" s="25"/>
    </row>
    <row r="123" spans="1:28" s="40" customFormat="1" ht="23.2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4"/>
      <c r="W123" s="25"/>
      <c r="Y123" s="57"/>
      <c r="Z123" s="41"/>
      <c r="AA123" s="121"/>
      <c r="AB123" s="25"/>
    </row>
    <row r="124" spans="1:28" s="40" customFormat="1" ht="3.75" customHeight="1">
      <c r="A124" s="26"/>
      <c r="B124" s="26"/>
      <c r="C124" s="162"/>
      <c r="D124" s="54"/>
      <c r="E124" s="25"/>
      <c r="F124" s="25"/>
      <c r="G124" s="25"/>
      <c r="H124" s="57"/>
      <c r="I124" s="25"/>
      <c r="J124" s="25"/>
      <c r="K124" s="25"/>
      <c r="L124" s="57"/>
      <c r="M124" s="25"/>
      <c r="N124" s="25"/>
      <c r="O124" s="25"/>
      <c r="P124" s="57"/>
      <c r="Q124" s="25"/>
      <c r="R124" s="25"/>
      <c r="S124" s="25"/>
      <c r="T124" s="57"/>
      <c r="U124" s="25"/>
      <c r="V124" s="25"/>
      <c r="W124" s="25"/>
      <c r="Y124" s="57"/>
      <c r="Z124" s="41"/>
      <c r="AA124" s="121"/>
      <c r="AB124" s="25"/>
    </row>
    <row r="125" spans="1:28" s="31" customFormat="1" ht="15.75" customHeight="1">
      <c r="A125" s="209" t="s">
        <v>0</v>
      </c>
      <c r="B125" s="210"/>
      <c r="C125" s="156" t="s">
        <v>39</v>
      </c>
      <c r="D125" s="55"/>
      <c r="E125" s="27" t="s">
        <v>1</v>
      </c>
      <c r="F125" s="211" t="s">
        <v>2</v>
      </c>
      <c r="G125" s="212"/>
      <c r="H125" s="94"/>
      <c r="I125" s="27" t="s">
        <v>3</v>
      </c>
      <c r="J125" s="211" t="s">
        <v>2</v>
      </c>
      <c r="K125" s="212"/>
      <c r="L125" s="94"/>
      <c r="M125" s="27" t="s">
        <v>4</v>
      </c>
      <c r="N125" s="211" t="s">
        <v>2</v>
      </c>
      <c r="O125" s="212"/>
      <c r="P125" s="94"/>
      <c r="Q125" s="27" t="s">
        <v>5</v>
      </c>
      <c r="R125" s="211" t="s">
        <v>2</v>
      </c>
      <c r="S125" s="212"/>
      <c r="T125" s="94"/>
      <c r="U125" s="27" t="s">
        <v>6</v>
      </c>
      <c r="V125" s="211" t="s">
        <v>2</v>
      </c>
      <c r="W125" s="212"/>
      <c r="X125" s="28" t="s">
        <v>7</v>
      </c>
      <c r="Y125" s="104"/>
      <c r="Z125" s="29" t="s">
        <v>40</v>
      </c>
      <c r="AA125" s="52" t="s">
        <v>42</v>
      </c>
      <c r="AB125" s="30" t="s">
        <v>7</v>
      </c>
    </row>
    <row r="126" spans="1:28" s="31" customFormat="1" ht="15.75" customHeight="1" thickBot="1">
      <c r="A126" s="213" t="s">
        <v>9</v>
      </c>
      <c r="B126" s="214"/>
      <c r="C126" s="157"/>
      <c r="D126" s="56"/>
      <c r="E126" s="32" t="s">
        <v>10</v>
      </c>
      <c r="F126" s="211" t="s">
        <v>11</v>
      </c>
      <c r="G126" s="212"/>
      <c r="H126" s="95"/>
      <c r="I126" s="32" t="s">
        <v>10</v>
      </c>
      <c r="J126" s="215" t="s">
        <v>11</v>
      </c>
      <c r="K126" s="216"/>
      <c r="L126" s="95"/>
      <c r="M126" s="32" t="s">
        <v>10</v>
      </c>
      <c r="N126" s="215" t="s">
        <v>11</v>
      </c>
      <c r="O126" s="216"/>
      <c r="P126" s="95"/>
      <c r="Q126" s="32" t="s">
        <v>10</v>
      </c>
      <c r="R126" s="215" t="s">
        <v>11</v>
      </c>
      <c r="S126" s="216"/>
      <c r="T126" s="95"/>
      <c r="U126" s="32" t="s">
        <v>10</v>
      </c>
      <c r="V126" s="215" t="s">
        <v>11</v>
      </c>
      <c r="W126" s="216"/>
      <c r="X126" s="33" t="s">
        <v>10</v>
      </c>
      <c r="Y126" s="84"/>
      <c r="Z126" s="34" t="s">
        <v>41</v>
      </c>
      <c r="AA126" s="53" t="s">
        <v>43</v>
      </c>
      <c r="AB126" s="35" t="s">
        <v>12</v>
      </c>
    </row>
    <row r="127" spans="1:28" s="38" customFormat="1" ht="42" customHeight="1">
      <c r="A127" s="217" t="s">
        <v>200</v>
      </c>
      <c r="B127" s="218"/>
      <c r="C127" s="158">
        <f>SUM(C128:C130)</f>
        <v>111</v>
      </c>
      <c r="D127" s="62"/>
      <c r="E127" s="63">
        <f>SUM(E128:E130)</f>
        <v>571</v>
      </c>
      <c r="F127" s="46">
        <f>E147</f>
        <v>484</v>
      </c>
      <c r="G127" s="64" t="str">
        <f>A147</f>
        <v>RT EHITUS</v>
      </c>
      <c r="H127" s="96"/>
      <c r="I127" s="49">
        <f>SUM(I128:I130)</f>
        <v>620</v>
      </c>
      <c r="J127" s="49">
        <f>I143</f>
        <v>626</v>
      </c>
      <c r="K127" s="42" t="str">
        <f>A143</f>
        <v>LATER</v>
      </c>
      <c r="L127" s="100"/>
      <c r="M127" s="45">
        <f>SUM(M128:M130)</f>
        <v>521</v>
      </c>
      <c r="N127" s="45">
        <f>M139</f>
        <v>509</v>
      </c>
      <c r="O127" s="42" t="str">
        <f>A139</f>
        <v>TOODE</v>
      </c>
      <c r="P127" s="100"/>
      <c r="Q127" s="45">
        <f>SUM(Q128:Q130)</f>
        <v>514</v>
      </c>
      <c r="R127" s="45">
        <f>Q135</f>
        <v>542</v>
      </c>
      <c r="S127" s="42" t="str">
        <f>A135</f>
        <v>Wiru Auto</v>
      </c>
      <c r="T127" s="100"/>
      <c r="U127" s="45">
        <f>SUM(U128:U130)</f>
        <v>578</v>
      </c>
      <c r="V127" s="45">
        <f>U131</f>
        <v>507</v>
      </c>
      <c r="W127" s="42" t="str">
        <f>A131</f>
        <v>Tapa Linnavalitsus</v>
      </c>
      <c r="X127" s="36">
        <f aca="true" t="shared" si="4" ref="X127:X150">E127+I127+M127+Q127+U127</f>
        <v>2804</v>
      </c>
      <c r="Y127" s="105">
        <f>X127-5*C127</f>
        <v>2249</v>
      </c>
      <c r="Z127" s="37">
        <f>AVERAGE(Z128,Z129,Z130)</f>
        <v>186.93333333333337</v>
      </c>
      <c r="AA127" s="65">
        <f>AVERAGE(AA128,AA129,AA130)</f>
        <v>149.93333333333337</v>
      </c>
      <c r="AB127" s="219">
        <f>F128+J128+N128+R128+V128</f>
        <v>3</v>
      </c>
    </row>
    <row r="128" spans="1:28" s="38" customFormat="1" ht="15.75" customHeight="1">
      <c r="A128" s="222" t="s">
        <v>215</v>
      </c>
      <c r="B128" s="223"/>
      <c r="C128" s="159">
        <v>8</v>
      </c>
      <c r="D128" s="59">
        <v>179</v>
      </c>
      <c r="E128" s="50">
        <f>C128+D128</f>
        <v>187</v>
      </c>
      <c r="F128" s="224">
        <v>1</v>
      </c>
      <c r="G128" s="225"/>
      <c r="H128" s="97">
        <v>240</v>
      </c>
      <c r="I128" s="46">
        <f>H128+C128</f>
        <v>248</v>
      </c>
      <c r="J128" s="224">
        <v>0</v>
      </c>
      <c r="K128" s="225"/>
      <c r="L128" s="97">
        <v>169</v>
      </c>
      <c r="M128" s="50">
        <f>L128+C128</f>
        <v>177</v>
      </c>
      <c r="N128" s="224">
        <v>1</v>
      </c>
      <c r="O128" s="225"/>
      <c r="P128" s="97">
        <v>163</v>
      </c>
      <c r="Q128" s="50">
        <f>P128+C128</f>
        <v>171</v>
      </c>
      <c r="R128" s="224">
        <v>0</v>
      </c>
      <c r="S128" s="225"/>
      <c r="T128" s="97">
        <v>191</v>
      </c>
      <c r="U128" s="50">
        <f>T128+C128</f>
        <v>199</v>
      </c>
      <c r="V128" s="224">
        <v>1</v>
      </c>
      <c r="W128" s="225"/>
      <c r="X128" s="46">
        <f t="shared" si="4"/>
        <v>982</v>
      </c>
      <c r="Y128" s="106">
        <f>D128+H128+L128+P128+T128</f>
        <v>942</v>
      </c>
      <c r="Z128" s="67">
        <f>AVERAGE(E128,I128,M128,Q128,U128)</f>
        <v>196.4</v>
      </c>
      <c r="AA128" s="67">
        <f>AVERAGE(E128,I128,M128,Q128,U128)-C128</f>
        <v>188.4</v>
      </c>
      <c r="AB128" s="220"/>
    </row>
    <row r="129" spans="1:28" s="38" customFormat="1" ht="15.75" customHeight="1">
      <c r="A129" s="222" t="s">
        <v>271</v>
      </c>
      <c r="B129" s="223"/>
      <c r="C129" s="159">
        <v>60</v>
      </c>
      <c r="D129" s="59">
        <v>121</v>
      </c>
      <c r="E129" s="50">
        <f>C129+D129</f>
        <v>181</v>
      </c>
      <c r="F129" s="226"/>
      <c r="G129" s="227"/>
      <c r="H129" s="98">
        <v>102</v>
      </c>
      <c r="I129" s="46">
        <f>H129+C129</f>
        <v>162</v>
      </c>
      <c r="J129" s="226"/>
      <c r="K129" s="227"/>
      <c r="L129" s="98">
        <v>94</v>
      </c>
      <c r="M129" s="50">
        <f>L129+C129</f>
        <v>154</v>
      </c>
      <c r="N129" s="226"/>
      <c r="O129" s="227"/>
      <c r="P129" s="98">
        <v>110</v>
      </c>
      <c r="Q129" s="50">
        <f>P129+C129</f>
        <v>170</v>
      </c>
      <c r="R129" s="226"/>
      <c r="S129" s="227"/>
      <c r="T129" s="98">
        <v>147</v>
      </c>
      <c r="U129" s="50">
        <f>T129+C129</f>
        <v>207</v>
      </c>
      <c r="V129" s="226"/>
      <c r="W129" s="227"/>
      <c r="X129" s="46">
        <f t="shared" si="4"/>
        <v>874</v>
      </c>
      <c r="Y129" s="106">
        <f>D129+H129+L129+P129+T129</f>
        <v>574</v>
      </c>
      <c r="Z129" s="67">
        <f>AVERAGE(E129,I129,M129,Q129,U129)</f>
        <v>174.8</v>
      </c>
      <c r="AA129" s="67">
        <f>AVERAGE(E129,I129,M129,Q129,U129)-C129</f>
        <v>114.80000000000001</v>
      </c>
      <c r="AB129" s="220"/>
    </row>
    <row r="130" spans="1:28" s="38" customFormat="1" ht="16.5" customHeight="1" thickBot="1">
      <c r="A130" s="229" t="s">
        <v>217</v>
      </c>
      <c r="B130" s="230"/>
      <c r="C130" s="160">
        <v>43</v>
      </c>
      <c r="D130" s="60">
        <v>160</v>
      </c>
      <c r="E130" s="50">
        <f>C130+D130</f>
        <v>203</v>
      </c>
      <c r="F130" s="204"/>
      <c r="G130" s="228"/>
      <c r="H130" s="99">
        <v>167</v>
      </c>
      <c r="I130" s="46">
        <f>H130+C130</f>
        <v>210</v>
      </c>
      <c r="J130" s="204"/>
      <c r="K130" s="228"/>
      <c r="L130" s="99">
        <v>147</v>
      </c>
      <c r="M130" s="50">
        <f>L130+C130</f>
        <v>190</v>
      </c>
      <c r="N130" s="204"/>
      <c r="O130" s="228"/>
      <c r="P130" s="99">
        <v>130</v>
      </c>
      <c r="Q130" s="50">
        <f>P130+C130</f>
        <v>173</v>
      </c>
      <c r="R130" s="204"/>
      <c r="S130" s="228"/>
      <c r="T130" s="99">
        <v>129</v>
      </c>
      <c r="U130" s="50">
        <f>T130+C130</f>
        <v>172</v>
      </c>
      <c r="V130" s="204"/>
      <c r="W130" s="228"/>
      <c r="X130" s="47">
        <f t="shared" si="4"/>
        <v>948</v>
      </c>
      <c r="Y130" s="107">
        <f>D130+H130+L130+P130+T130</f>
        <v>733</v>
      </c>
      <c r="Z130" s="68">
        <f>AVERAGE(E130,I130,M130,Q130,U130)</f>
        <v>189.6</v>
      </c>
      <c r="AA130" s="68">
        <f>AVERAGE(E130,I130,M130,Q130,U130)-C130</f>
        <v>146.6</v>
      </c>
      <c r="AB130" s="221"/>
    </row>
    <row r="131" spans="1:28" s="38" customFormat="1" ht="41.25" customHeight="1">
      <c r="A131" s="217" t="s">
        <v>110</v>
      </c>
      <c r="B131" s="218"/>
      <c r="C131" s="158">
        <f>SUM(C132:C134)</f>
        <v>173</v>
      </c>
      <c r="D131" s="62"/>
      <c r="E131" s="45">
        <f>SUM(E132:E134)</f>
        <v>464</v>
      </c>
      <c r="F131" s="45">
        <f>E143</f>
        <v>540</v>
      </c>
      <c r="G131" s="42" t="str">
        <f>A143</f>
        <v>LATER</v>
      </c>
      <c r="H131" s="100"/>
      <c r="I131" s="45">
        <f>SUM(I132:I134)</f>
        <v>482</v>
      </c>
      <c r="J131" s="46">
        <f>I139</f>
        <v>558</v>
      </c>
      <c r="K131" s="42" t="str">
        <f>A139</f>
        <v>TOODE</v>
      </c>
      <c r="L131" s="102"/>
      <c r="M131" s="49">
        <f>SUM(M132:M134)</f>
        <v>498</v>
      </c>
      <c r="N131" s="45">
        <f>M135</f>
        <v>587</v>
      </c>
      <c r="O131" s="42" t="str">
        <f>A135</f>
        <v>Wiru Auto</v>
      </c>
      <c r="P131" s="102"/>
      <c r="Q131" s="49">
        <f>SUM(Q132:Q134)</f>
        <v>534</v>
      </c>
      <c r="R131" s="45">
        <f>Q147</f>
        <v>593</v>
      </c>
      <c r="S131" s="42" t="str">
        <f>A147</f>
        <v>RT EHITUS</v>
      </c>
      <c r="T131" s="102"/>
      <c r="U131" s="49">
        <f>SUM(U132:U134)</f>
        <v>507</v>
      </c>
      <c r="V131" s="45">
        <f>U127</f>
        <v>578</v>
      </c>
      <c r="W131" s="42" t="str">
        <f>A127</f>
        <v>KUNDA TRANS</v>
      </c>
      <c r="X131" s="36">
        <f t="shared" si="4"/>
        <v>2485</v>
      </c>
      <c r="Y131" s="105">
        <f>X131-5*C131</f>
        <v>1620</v>
      </c>
      <c r="Z131" s="37">
        <f>AVERAGE(Z132,Z133,Z134)</f>
        <v>165.66666666666666</v>
      </c>
      <c r="AA131" s="37">
        <f>AVERAGE(AA132,AA133,AA134)</f>
        <v>108</v>
      </c>
      <c r="AB131" s="220">
        <f>F132+J132+N132+R132+V132</f>
        <v>0</v>
      </c>
    </row>
    <row r="132" spans="1:28" s="38" customFormat="1" ht="15.75" customHeight="1">
      <c r="A132" s="222" t="s">
        <v>272</v>
      </c>
      <c r="B132" s="223"/>
      <c r="C132" s="159">
        <v>60</v>
      </c>
      <c r="D132" s="59">
        <v>100</v>
      </c>
      <c r="E132" s="50">
        <f>C132+D132</f>
        <v>160</v>
      </c>
      <c r="F132" s="224">
        <v>0</v>
      </c>
      <c r="G132" s="225"/>
      <c r="H132" s="97">
        <v>92</v>
      </c>
      <c r="I132" s="46">
        <f>H132+C132</f>
        <v>152</v>
      </c>
      <c r="J132" s="224">
        <v>0</v>
      </c>
      <c r="K132" s="225"/>
      <c r="L132" s="97">
        <v>140</v>
      </c>
      <c r="M132" s="50">
        <f>L132+C132</f>
        <v>200</v>
      </c>
      <c r="N132" s="224">
        <v>0</v>
      </c>
      <c r="O132" s="225"/>
      <c r="P132" s="97">
        <v>131</v>
      </c>
      <c r="Q132" s="50">
        <f>P132+C132</f>
        <v>191</v>
      </c>
      <c r="R132" s="224">
        <v>0</v>
      </c>
      <c r="S132" s="225"/>
      <c r="T132" s="97">
        <v>115</v>
      </c>
      <c r="U132" s="50">
        <f>T132+C132</f>
        <v>175</v>
      </c>
      <c r="V132" s="224">
        <v>0</v>
      </c>
      <c r="W132" s="225"/>
      <c r="X132" s="46">
        <f t="shared" si="4"/>
        <v>878</v>
      </c>
      <c r="Y132" s="106">
        <f>D132+H132+L132+P132+T132</f>
        <v>578</v>
      </c>
      <c r="Z132" s="67">
        <f>AVERAGE(E132,I132,M132,Q132,U132)</f>
        <v>175.6</v>
      </c>
      <c r="AA132" s="67">
        <f>AVERAGE(E132,I132,M132,Q132,U132)-C132</f>
        <v>115.6</v>
      </c>
      <c r="AB132" s="220"/>
    </row>
    <row r="133" spans="1:28" s="38" customFormat="1" ht="15.75" customHeight="1">
      <c r="A133" s="222" t="s">
        <v>124</v>
      </c>
      <c r="B133" s="223"/>
      <c r="C133" s="159">
        <v>53</v>
      </c>
      <c r="D133" s="59">
        <v>112</v>
      </c>
      <c r="E133" s="50">
        <f>C133+D133</f>
        <v>165</v>
      </c>
      <c r="F133" s="226"/>
      <c r="G133" s="227"/>
      <c r="H133" s="98">
        <v>124</v>
      </c>
      <c r="I133" s="46">
        <f>H133+C133</f>
        <v>177</v>
      </c>
      <c r="J133" s="226"/>
      <c r="K133" s="227"/>
      <c r="L133" s="98">
        <v>118</v>
      </c>
      <c r="M133" s="50">
        <f>L133+C133</f>
        <v>171</v>
      </c>
      <c r="N133" s="226"/>
      <c r="O133" s="227"/>
      <c r="P133" s="98">
        <v>134</v>
      </c>
      <c r="Q133" s="50">
        <f>P133+C133</f>
        <v>187</v>
      </c>
      <c r="R133" s="226"/>
      <c r="S133" s="227"/>
      <c r="T133" s="98">
        <v>133</v>
      </c>
      <c r="U133" s="50">
        <f>T133+C133</f>
        <v>186</v>
      </c>
      <c r="V133" s="226"/>
      <c r="W133" s="227"/>
      <c r="X133" s="46">
        <f t="shared" si="4"/>
        <v>886</v>
      </c>
      <c r="Y133" s="106">
        <f>D133+H133+L133+P133+T133</f>
        <v>621</v>
      </c>
      <c r="Z133" s="67">
        <f>AVERAGE(E133,I133,M133,Q133,U133)</f>
        <v>177.2</v>
      </c>
      <c r="AA133" s="67">
        <f>AVERAGE(E133,I133,M133,Q133,U133)-C133</f>
        <v>124.19999999999999</v>
      </c>
      <c r="AB133" s="220"/>
    </row>
    <row r="134" spans="1:28" s="38" customFormat="1" ht="15.75" customHeight="1" thickBot="1">
      <c r="A134" s="229" t="s">
        <v>273</v>
      </c>
      <c r="B134" s="230"/>
      <c r="C134" s="160">
        <v>60</v>
      </c>
      <c r="D134" s="60">
        <v>79</v>
      </c>
      <c r="E134" s="50">
        <f>C134+D134</f>
        <v>139</v>
      </c>
      <c r="F134" s="204"/>
      <c r="G134" s="228"/>
      <c r="H134" s="99">
        <v>93</v>
      </c>
      <c r="I134" s="46">
        <f>H134+C134</f>
        <v>153</v>
      </c>
      <c r="J134" s="204"/>
      <c r="K134" s="228"/>
      <c r="L134" s="99">
        <v>67</v>
      </c>
      <c r="M134" s="50">
        <f>L134+C134</f>
        <v>127</v>
      </c>
      <c r="N134" s="204"/>
      <c r="O134" s="228"/>
      <c r="P134" s="99">
        <v>96</v>
      </c>
      <c r="Q134" s="50">
        <f>P134+C134</f>
        <v>156</v>
      </c>
      <c r="R134" s="204"/>
      <c r="S134" s="228"/>
      <c r="T134" s="99">
        <v>86</v>
      </c>
      <c r="U134" s="50">
        <f>T134+C134</f>
        <v>146</v>
      </c>
      <c r="V134" s="204"/>
      <c r="W134" s="228"/>
      <c r="X134" s="47">
        <f t="shared" si="4"/>
        <v>721</v>
      </c>
      <c r="Y134" s="107">
        <f>D134+H134+L134+P134+T134</f>
        <v>421</v>
      </c>
      <c r="Z134" s="68">
        <f>AVERAGE(E134,I134,M134,Q134,U134)</f>
        <v>144.2</v>
      </c>
      <c r="AA134" s="68">
        <f>AVERAGE(E134,I134,M134,Q134,U134)-C134</f>
        <v>84.19999999999999</v>
      </c>
      <c r="AB134" s="221"/>
    </row>
    <row r="135" spans="1:28" s="38" customFormat="1" ht="47.25" customHeight="1">
      <c r="A135" s="217" t="s">
        <v>162</v>
      </c>
      <c r="B135" s="218"/>
      <c r="C135" s="158">
        <f>SUM(C136:C138)</f>
        <v>147</v>
      </c>
      <c r="D135" s="62"/>
      <c r="E135" s="45">
        <f>SUM(E136:E138)</f>
        <v>539</v>
      </c>
      <c r="F135" s="45">
        <f>E139</f>
        <v>508</v>
      </c>
      <c r="G135" s="42" t="str">
        <f>A139</f>
        <v>TOODE</v>
      </c>
      <c r="H135" s="100"/>
      <c r="I135" s="45">
        <f>SUM(I136:I138)</f>
        <v>549</v>
      </c>
      <c r="J135" s="45">
        <f>I147</f>
        <v>537</v>
      </c>
      <c r="K135" s="42" t="str">
        <f>A147</f>
        <v>RT EHITUS</v>
      </c>
      <c r="L135" s="103"/>
      <c r="M135" s="69">
        <f>SUM(M136:M138)</f>
        <v>587</v>
      </c>
      <c r="N135" s="45">
        <f>M131</f>
        <v>498</v>
      </c>
      <c r="O135" s="42" t="str">
        <f>A131</f>
        <v>Tapa Linnavalitsus</v>
      </c>
      <c r="P135" s="103"/>
      <c r="Q135" s="69">
        <f>SUM(Q136:Q138)</f>
        <v>542</v>
      </c>
      <c r="R135" s="45">
        <f>Q127</f>
        <v>514</v>
      </c>
      <c r="S135" s="42" t="str">
        <f>A127</f>
        <v>KUNDA TRANS</v>
      </c>
      <c r="T135" s="103"/>
      <c r="U135" s="69">
        <f>SUM(U136:U138)</f>
        <v>547</v>
      </c>
      <c r="V135" s="45">
        <f>U143</f>
        <v>559</v>
      </c>
      <c r="W135" s="42" t="str">
        <f>A143</f>
        <v>LATER</v>
      </c>
      <c r="X135" s="36">
        <f t="shared" si="4"/>
        <v>2764</v>
      </c>
      <c r="Y135" s="105">
        <f>X135-5*C135</f>
        <v>2029</v>
      </c>
      <c r="Z135" s="37">
        <f>AVERAGE(Z136,Z137,Z138)</f>
        <v>184.26666666666665</v>
      </c>
      <c r="AA135" s="37">
        <f>AVERAGE(AA136,AA137,AA138)</f>
        <v>135.26666666666665</v>
      </c>
      <c r="AB135" s="219">
        <f>F136+J136+N136+R136+V136</f>
        <v>4</v>
      </c>
    </row>
    <row r="136" spans="1:28" s="38" customFormat="1" ht="15.75" customHeight="1">
      <c r="A136" s="222" t="s">
        <v>153</v>
      </c>
      <c r="B136" s="223"/>
      <c r="C136" s="159">
        <v>32</v>
      </c>
      <c r="D136" s="59">
        <v>170</v>
      </c>
      <c r="E136" s="50">
        <f>C136+D136</f>
        <v>202</v>
      </c>
      <c r="F136" s="224">
        <v>1</v>
      </c>
      <c r="G136" s="225"/>
      <c r="H136" s="97">
        <v>121</v>
      </c>
      <c r="I136" s="46">
        <f>H136+C136</f>
        <v>153</v>
      </c>
      <c r="J136" s="224">
        <v>1</v>
      </c>
      <c r="K136" s="225"/>
      <c r="L136" s="97">
        <v>141</v>
      </c>
      <c r="M136" s="50">
        <f>L136+C136</f>
        <v>173</v>
      </c>
      <c r="N136" s="224">
        <v>1</v>
      </c>
      <c r="O136" s="225"/>
      <c r="P136" s="97">
        <v>140</v>
      </c>
      <c r="Q136" s="50">
        <f>P136+C136</f>
        <v>172</v>
      </c>
      <c r="R136" s="224">
        <v>1</v>
      </c>
      <c r="S136" s="225"/>
      <c r="T136" s="97">
        <v>131</v>
      </c>
      <c r="U136" s="50">
        <f>T136+C136</f>
        <v>163</v>
      </c>
      <c r="V136" s="224">
        <v>0</v>
      </c>
      <c r="W136" s="225"/>
      <c r="X136" s="46">
        <f t="shared" si="4"/>
        <v>863</v>
      </c>
      <c r="Y136" s="106">
        <f>D136+H136+L136+P136+T136</f>
        <v>703</v>
      </c>
      <c r="Z136" s="67">
        <f>AVERAGE(E136,I136,M136,Q136,U136)</f>
        <v>172.6</v>
      </c>
      <c r="AA136" s="67">
        <f>AVERAGE(E136,I136,M136,Q136,U136)-C136</f>
        <v>140.6</v>
      </c>
      <c r="AB136" s="220"/>
    </row>
    <row r="137" spans="1:28" s="38" customFormat="1" ht="15.75" customHeight="1">
      <c r="A137" s="222" t="s">
        <v>154</v>
      </c>
      <c r="B137" s="223"/>
      <c r="C137" s="159">
        <v>60</v>
      </c>
      <c r="D137" s="59">
        <v>87</v>
      </c>
      <c r="E137" s="50">
        <f>C137+D137</f>
        <v>147</v>
      </c>
      <c r="F137" s="226"/>
      <c r="G137" s="227"/>
      <c r="H137" s="98">
        <v>128</v>
      </c>
      <c r="I137" s="46">
        <f>H137+C137</f>
        <v>188</v>
      </c>
      <c r="J137" s="226"/>
      <c r="K137" s="227"/>
      <c r="L137" s="98">
        <v>156</v>
      </c>
      <c r="M137" s="50">
        <f>L137+C137</f>
        <v>216</v>
      </c>
      <c r="N137" s="226"/>
      <c r="O137" s="227"/>
      <c r="P137" s="98">
        <v>114</v>
      </c>
      <c r="Q137" s="50">
        <f>P137+C137</f>
        <v>174</v>
      </c>
      <c r="R137" s="226"/>
      <c r="S137" s="227"/>
      <c r="T137" s="98">
        <v>124</v>
      </c>
      <c r="U137" s="50">
        <f>T137+C137</f>
        <v>184</v>
      </c>
      <c r="V137" s="226"/>
      <c r="W137" s="227"/>
      <c r="X137" s="46">
        <f t="shared" si="4"/>
        <v>909</v>
      </c>
      <c r="Y137" s="106">
        <f>D137+H137+L137+P137+T137</f>
        <v>609</v>
      </c>
      <c r="Z137" s="67">
        <f>AVERAGE(E137,I137,M137,Q137,U137)</f>
        <v>181.8</v>
      </c>
      <c r="AA137" s="67">
        <f>AVERAGE(E137,I137,M137,Q137,U137)-C137</f>
        <v>121.80000000000001</v>
      </c>
      <c r="AB137" s="220"/>
    </row>
    <row r="138" spans="1:28" s="38" customFormat="1" ht="15.75" customHeight="1" thickBot="1">
      <c r="A138" s="229" t="s">
        <v>155</v>
      </c>
      <c r="B138" s="230"/>
      <c r="C138" s="160">
        <v>55</v>
      </c>
      <c r="D138" s="60">
        <v>135</v>
      </c>
      <c r="E138" s="50">
        <f>C138+D138</f>
        <v>190</v>
      </c>
      <c r="F138" s="204"/>
      <c r="G138" s="228"/>
      <c r="H138" s="99">
        <v>153</v>
      </c>
      <c r="I138" s="46">
        <f>H138+C138</f>
        <v>208</v>
      </c>
      <c r="J138" s="204"/>
      <c r="K138" s="228"/>
      <c r="L138" s="99">
        <v>143</v>
      </c>
      <c r="M138" s="50">
        <f>L138+C138</f>
        <v>198</v>
      </c>
      <c r="N138" s="204"/>
      <c r="O138" s="228"/>
      <c r="P138" s="99">
        <v>141</v>
      </c>
      <c r="Q138" s="50">
        <f>P138+C138</f>
        <v>196</v>
      </c>
      <c r="R138" s="204"/>
      <c r="S138" s="228"/>
      <c r="T138" s="99">
        <v>145</v>
      </c>
      <c r="U138" s="50">
        <f>T138+C138</f>
        <v>200</v>
      </c>
      <c r="V138" s="204"/>
      <c r="W138" s="228"/>
      <c r="X138" s="47">
        <f t="shared" si="4"/>
        <v>992</v>
      </c>
      <c r="Y138" s="107">
        <f>D138+H138+L138+P138+T138</f>
        <v>717</v>
      </c>
      <c r="Z138" s="68">
        <f>AVERAGE(E138,I138,M138,Q138,U138)</f>
        <v>198.4</v>
      </c>
      <c r="AA138" s="68">
        <f>AVERAGE(E138,I138,M138,Q138,U138)-C138</f>
        <v>143.4</v>
      </c>
      <c r="AB138" s="221"/>
    </row>
    <row r="139" spans="1:28" s="38" customFormat="1" ht="39" customHeight="1">
      <c r="A139" s="217" t="s">
        <v>175</v>
      </c>
      <c r="B139" s="218"/>
      <c r="C139" s="158">
        <f>SUM(C140:C142)</f>
        <v>141</v>
      </c>
      <c r="D139" s="92"/>
      <c r="E139" s="48">
        <f>SUM(E140:E142)</f>
        <v>508</v>
      </c>
      <c r="F139" s="48">
        <f>E135</f>
        <v>539</v>
      </c>
      <c r="G139" s="43" t="str">
        <f>A135</f>
        <v>Wiru Auto</v>
      </c>
      <c r="H139" s="101"/>
      <c r="I139" s="48">
        <f>SUM(I140:I142)</f>
        <v>558</v>
      </c>
      <c r="J139" s="48">
        <f>I131</f>
        <v>482</v>
      </c>
      <c r="K139" s="43" t="str">
        <f>A131</f>
        <v>Tapa Linnavalitsus</v>
      </c>
      <c r="L139" s="96"/>
      <c r="M139" s="49">
        <f>SUM(M140:M142)</f>
        <v>509</v>
      </c>
      <c r="N139" s="48">
        <f>M127</f>
        <v>521</v>
      </c>
      <c r="O139" s="43" t="str">
        <f>A127</f>
        <v>KUNDA TRANS</v>
      </c>
      <c r="P139" s="96"/>
      <c r="Q139" s="49">
        <f>SUM(Q140:Q142)</f>
        <v>614</v>
      </c>
      <c r="R139" s="48">
        <f>Q143</f>
        <v>576</v>
      </c>
      <c r="S139" s="43" t="str">
        <f>A143</f>
        <v>LATER</v>
      </c>
      <c r="T139" s="96"/>
      <c r="U139" s="49">
        <f>SUM(U140:U142)</f>
        <v>516</v>
      </c>
      <c r="V139" s="48">
        <f>U147</f>
        <v>531</v>
      </c>
      <c r="W139" s="43" t="str">
        <f>A147</f>
        <v>RT EHITUS</v>
      </c>
      <c r="X139" s="36">
        <f t="shared" si="4"/>
        <v>2705</v>
      </c>
      <c r="Y139" s="105">
        <f>X139-5*C139</f>
        <v>2000</v>
      </c>
      <c r="Z139" s="37">
        <f>AVERAGE(Z140,Z141,Z142)</f>
        <v>180.33333333333334</v>
      </c>
      <c r="AA139" s="37">
        <f>AVERAGE(AA140,AA141,AA142)</f>
        <v>133.33333333333334</v>
      </c>
      <c r="AB139" s="219">
        <f>F140+J140+N140+R140+V140</f>
        <v>2</v>
      </c>
    </row>
    <row r="140" spans="1:28" s="38" customFormat="1" ht="15.75" customHeight="1">
      <c r="A140" s="222" t="s">
        <v>179</v>
      </c>
      <c r="B140" s="223"/>
      <c r="C140" s="159">
        <v>45</v>
      </c>
      <c r="D140" s="59">
        <v>165</v>
      </c>
      <c r="E140" s="50">
        <f>C140+D140</f>
        <v>210</v>
      </c>
      <c r="F140" s="224">
        <v>0</v>
      </c>
      <c r="G140" s="225"/>
      <c r="H140" s="97">
        <v>144</v>
      </c>
      <c r="I140" s="46">
        <f>H140+C140</f>
        <v>189</v>
      </c>
      <c r="J140" s="224">
        <v>1</v>
      </c>
      <c r="K140" s="225"/>
      <c r="L140" s="97">
        <v>161</v>
      </c>
      <c r="M140" s="50">
        <f>L140+C140</f>
        <v>206</v>
      </c>
      <c r="N140" s="224">
        <v>0</v>
      </c>
      <c r="O140" s="225"/>
      <c r="P140" s="97">
        <v>157</v>
      </c>
      <c r="Q140" s="50">
        <f>P140+C140</f>
        <v>202</v>
      </c>
      <c r="R140" s="224">
        <v>1</v>
      </c>
      <c r="S140" s="225"/>
      <c r="T140" s="97">
        <v>142</v>
      </c>
      <c r="U140" s="50">
        <f>T140+C140</f>
        <v>187</v>
      </c>
      <c r="V140" s="224">
        <v>0</v>
      </c>
      <c r="W140" s="225"/>
      <c r="X140" s="46">
        <f t="shared" si="4"/>
        <v>994</v>
      </c>
      <c r="Y140" s="106">
        <f>D140+H140+L140+P140+T140</f>
        <v>769</v>
      </c>
      <c r="Z140" s="67">
        <f>AVERAGE(E140,I140,M140,Q140,U140)</f>
        <v>198.8</v>
      </c>
      <c r="AA140" s="67">
        <f>AVERAGE(E140,I140,M140,Q140,U140)-C140</f>
        <v>153.8</v>
      </c>
      <c r="AB140" s="220"/>
    </row>
    <row r="141" spans="1:28" s="38" customFormat="1" ht="15.75" customHeight="1">
      <c r="A141" s="222" t="s">
        <v>180</v>
      </c>
      <c r="B141" s="223"/>
      <c r="C141" s="159">
        <v>60</v>
      </c>
      <c r="D141" s="59">
        <v>91</v>
      </c>
      <c r="E141" s="50">
        <f>C141+D141</f>
        <v>151</v>
      </c>
      <c r="F141" s="226"/>
      <c r="G141" s="227"/>
      <c r="H141" s="98">
        <v>99</v>
      </c>
      <c r="I141" s="46">
        <f>H141+C141</f>
        <v>159</v>
      </c>
      <c r="J141" s="226"/>
      <c r="K141" s="227"/>
      <c r="L141" s="98">
        <v>71</v>
      </c>
      <c r="M141" s="50">
        <f>L141+C141</f>
        <v>131</v>
      </c>
      <c r="N141" s="226"/>
      <c r="O141" s="227"/>
      <c r="P141" s="98">
        <v>119</v>
      </c>
      <c r="Q141" s="50">
        <f>P141+C141</f>
        <v>179</v>
      </c>
      <c r="R141" s="226"/>
      <c r="S141" s="227"/>
      <c r="T141" s="98">
        <v>96</v>
      </c>
      <c r="U141" s="50">
        <f>T141+C141</f>
        <v>156</v>
      </c>
      <c r="V141" s="226"/>
      <c r="W141" s="227"/>
      <c r="X141" s="46">
        <f t="shared" si="4"/>
        <v>776</v>
      </c>
      <c r="Y141" s="106">
        <f>D141+H141+L141+P141+T141</f>
        <v>476</v>
      </c>
      <c r="Z141" s="67">
        <f>AVERAGE(E141,I141,M141,Q141,U141)</f>
        <v>155.2</v>
      </c>
      <c r="AA141" s="67">
        <f>AVERAGE(E141,I141,M141,Q141,U141)-C141</f>
        <v>95.19999999999999</v>
      </c>
      <c r="AB141" s="220"/>
    </row>
    <row r="142" spans="1:29" s="38" customFormat="1" ht="15.75" customHeight="1" thickBot="1">
      <c r="A142" s="229" t="s">
        <v>181</v>
      </c>
      <c r="B142" s="230"/>
      <c r="C142" s="160">
        <v>36</v>
      </c>
      <c r="D142" s="60">
        <v>111</v>
      </c>
      <c r="E142" s="50">
        <f>C142+D142</f>
        <v>147</v>
      </c>
      <c r="F142" s="204"/>
      <c r="G142" s="228"/>
      <c r="H142" s="99">
        <v>174</v>
      </c>
      <c r="I142" s="46">
        <f>H142+C142</f>
        <v>210</v>
      </c>
      <c r="J142" s="204"/>
      <c r="K142" s="228"/>
      <c r="L142" s="99">
        <v>136</v>
      </c>
      <c r="M142" s="50">
        <f>L142+C142</f>
        <v>172</v>
      </c>
      <c r="N142" s="204"/>
      <c r="O142" s="228"/>
      <c r="P142" s="99">
        <v>197</v>
      </c>
      <c r="Q142" s="50">
        <f>P142+C142</f>
        <v>233</v>
      </c>
      <c r="R142" s="204"/>
      <c r="S142" s="228"/>
      <c r="T142" s="99">
        <v>137</v>
      </c>
      <c r="U142" s="50">
        <f>T142+C142</f>
        <v>173</v>
      </c>
      <c r="V142" s="204"/>
      <c r="W142" s="228"/>
      <c r="X142" s="47">
        <f t="shared" si="4"/>
        <v>935</v>
      </c>
      <c r="Y142" s="107">
        <f>D142+H142+L142+P142+T142</f>
        <v>755</v>
      </c>
      <c r="Z142" s="68">
        <f>AVERAGE(E142,I142,M142,Q142,U142)</f>
        <v>187</v>
      </c>
      <c r="AA142" s="68">
        <f>AVERAGE(E142,I142,M142,Q142,U142)-C142</f>
        <v>151</v>
      </c>
      <c r="AB142" s="221"/>
      <c r="AC142" s="44"/>
    </row>
    <row r="143" spans="1:28" s="38" customFormat="1" ht="40.5" customHeight="1">
      <c r="A143" s="217" t="s">
        <v>75</v>
      </c>
      <c r="B143" s="218"/>
      <c r="C143" s="158">
        <f>SUM(C144:C146)</f>
        <v>112</v>
      </c>
      <c r="D143" s="62"/>
      <c r="E143" s="45">
        <f>SUM(E144:E146)</f>
        <v>540</v>
      </c>
      <c r="F143" s="45">
        <f>E131</f>
        <v>464</v>
      </c>
      <c r="G143" s="42" t="str">
        <f>A131</f>
        <v>Tapa Linnavalitsus</v>
      </c>
      <c r="H143" s="100"/>
      <c r="I143" s="45">
        <f>SUM(I144:I146)</f>
        <v>626</v>
      </c>
      <c r="J143" s="45">
        <f>I127</f>
        <v>620</v>
      </c>
      <c r="K143" s="42" t="str">
        <f>A127</f>
        <v>KUNDA TRANS</v>
      </c>
      <c r="L143" s="103"/>
      <c r="M143" s="69">
        <f>SUM(M144:M146)</f>
        <v>530</v>
      </c>
      <c r="N143" s="45">
        <f>M147</f>
        <v>500</v>
      </c>
      <c r="O143" s="42" t="str">
        <f>A147</f>
        <v>RT EHITUS</v>
      </c>
      <c r="P143" s="103"/>
      <c r="Q143" s="69">
        <f>SUM(Q144:Q146)</f>
        <v>576</v>
      </c>
      <c r="R143" s="45">
        <f>Q139</f>
        <v>614</v>
      </c>
      <c r="S143" s="42" t="str">
        <f>A139</f>
        <v>TOODE</v>
      </c>
      <c r="T143" s="103"/>
      <c r="U143" s="69">
        <f>SUM(U144:U146)</f>
        <v>559</v>
      </c>
      <c r="V143" s="45">
        <f>U135</f>
        <v>547</v>
      </c>
      <c r="W143" s="42" t="str">
        <f>A135</f>
        <v>Wiru Auto</v>
      </c>
      <c r="X143" s="36">
        <f t="shared" si="4"/>
        <v>2831</v>
      </c>
      <c r="Y143" s="105">
        <f>X143-5*C143</f>
        <v>2271</v>
      </c>
      <c r="Z143" s="37">
        <f>AVERAGE(Z144,Z145,Z146)</f>
        <v>188.73333333333335</v>
      </c>
      <c r="AA143" s="37">
        <f>AVERAGE(AA144,AA145,AA146)</f>
        <v>151.4</v>
      </c>
      <c r="AB143" s="219">
        <f>F144+J144+N144+R144+V144</f>
        <v>4</v>
      </c>
    </row>
    <row r="144" spans="1:28" s="38" customFormat="1" ht="15.75" customHeight="1">
      <c r="A144" s="222" t="s">
        <v>84</v>
      </c>
      <c r="B144" s="223"/>
      <c r="C144" s="159">
        <v>29</v>
      </c>
      <c r="D144" s="59">
        <v>142</v>
      </c>
      <c r="E144" s="50">
        <f>C144+D144</f>
        <v>171</v>
      </c>
      <c r="F144" s="224">
        <v>1</v>
      </c>
      <c r="G144" s="225"/>
      <c r="H144" s="97">
        <v>150</v>
      </c>
      <c r="I144" s="46">
        <f>H144+C144</f>
        <v>179</v>
      </c>
      <c r="J144" s="224">
        <v>1</v>
      </c>
      <c r="K144" s="225"/>
      <c r="L144" s="97">
        <v>128</v>
      </c>
      <c r="M144" s="50">
        <f>L144+C144</f>
        <v>157</v>
      </c>
      <c r="N144" s="224">
        <v>1</v>
      </c>
      <c r="O144" s="225"/>
      <c r="P144" s="97">
        <v>140</v>
      </c>
      <c r="Q144" s="50">
        <f>P144+C144</f>
        <v>169</v>
      </c>
      <c r="R144" s="224">
        <v>0</v>
      </c>
      <c r="S144" s="225"/>
      <c r="T144" s="97">
        <v>144</v>
      </c>
      <c r="U144" s="50">
        <f>T144+C144</f>
        <v>173</v>
      </c>
      <c r="V144" s="224">
        <v>1</v>
      </c>
      <c r="W144" s="225"/>
      <c r="X144" s="46">
        <f t="shared" si="4"/>
        <v>849</v>
      </c>
      <c r="Y144" s="106">
        <f>D144+H144+L144+P144+T144</f>
        <v>704</v>
      </c>
      <c r="Z144" s="67">
        <f>AVERAGE(E144,I144,M144,Q144,U144)</f>
        <v>169.8</v>
      </c>
      <c r="AA144" s="67">
        <f>AVERAGE(E144,I144,M144,Q144,U144)-C144</f>
        <v>140.8</v>
      </c>
      <c r="AB144" s="220"/>
    </row>
    <row r="145" spans="1:28" s="38" customFormat="1" ht="15.75" customHeight="1">
      <c r="A145" s="222" t="s">
        <v>85</v>
      </c>
      <c r="B145" s="223"/>
      <c r="C145" s="159">
        <v>52</v>
      </c>
      <c r="D145" s="59">
        <v>132</v>
      </c>
      <c r="E145" s="50">
        <f>C145+D145</f>
        <v>184</v>
      </c>
      <c r="F145" s="226"/>
      <c r="G145" s="227"/>
      <c r="H145" s="98">
        <v>185</v>
      </c>
      <c r="I145" s="46">
        <f>H145+C145</f>
        <v>237</v>
      </c>
      <c r="J145" s="226"/>
      <c r="K145" s="227"/>
      <c r="L145" s="98">
        <v>129</v>
      </c>
      <c r="M145" s="50">
        <f>L145+C145</f>
        <v>181</v>
      </c>
      <c r="N145" s="226"/>
      <c r="O145" s="227"/>
      <c r="P145" s="98">
        <v>135</v>
      </c>
      <c r="Q145" s="50">
        <f>P145+C145</f>
        <v>187</v>
      </c>
      <c r="R145" s="226"/>
      <c r="S145" s="227"/>
      <c r="T145" s="98">
        <v>133</v>
      </c>
      <c r="U145" s="50">
        <f>T145+C145</f>
        <v>185</v>
      </c>
      <c r="V145" s="226"/>
      <c r="W145" s="227"/>
      <c r="X145" s="46">
        <f t="shared" si="4"/>
        <v>974</v>
      </c>
      <c r="Y145" s="106">
        <f>D145+H145+L145+P145+T145</f>
        <v>714</v>
      </c>
      <c r="Z145" s="67">
        <f>AVERAGE(E145,I145,M145,Q145,U145)</f>
        <v>194.8</v>
      </c>
      <c r="AA145" s="67">
        <f>AVERAGE(E145,I145,M145,Q145,U145)-C145</f>
        <v>142.8</v>
      </c>
      <c r="AB145" s="220"/>
    </row>
    <row r="146" spans="1:28" s="38" customFormat="1" ht="15.75" customHeight="1" thickBot="1">
      <c r="A146" s="229" t="s">
        <v>86</v>
      </c>
      <c r="B146" s="230"/>
      <c r="C146" s="160">
        <v>31</v>
      </c>
      <c r="D146" s="60">
        <v>154</v>
      </c>
      <c r="E146" s="50">
        <f>C146+D146</f>
        <v>185</v>
      </c>
      <c r="F146" s="204"/>
      <c r="G146" s="228"/>
      <c r="H146" s="99">
        <v>179</v>
      </c>
      <c r="I146" s="46">
        <f>H146+C146</f>
        <v>210</v>
      </c>
      <c r="J146" s="204"/>
      <c r="K146" s="228"/>
      <c r="L146" s="99">
        <v>161</v>
      </c>
      <c r="M146" s="50">
        <f>L146+C146</f>
        <v>192</v>
      </c>
      <c r="N146" s="204"/>
      <c r="O146" s="228"/>
      <c r="P146" s="99">
        <v>189</v>
      </c>
      <c r="Q146" s="50">
        <f>P146+C146</f>
        <v>220</v>
      </c>
      <c r="R146" s="204"/>
      <c r="S146" s="228"/>
      <c r="T146" s="99">
        <v>170</v>
      </c>
      <c r="U146" s="50">
        <f>T146+C146</f>
        <v>201</v>
      </c>
      <c r="V146" s="204"/>
      <c r="W146" s="228"/>
      <c r="X146" s="47">
        <f t="shared" si="4"/>
        <v>1008</v>
      </c>
      <c r="Y146" s="107">
        <f>D146+H146+L146+P146+T146</f>
        <v>853</v>
      </c>
      <c r="Z146" s="68">
        <f>AVERAGE(E146,I146,M146,Q146,U146)</f>
        <v>201.6</v>
      </c>
      <c r="AA146" s="68">
        <f>AVERAGE(E146,I146,M146,Q146,U146)-C146</f>
        <v>170.6</v>
      </c>
      <c r="AB146" s="221"/>
    </row>
    <row r="147" spans="1:28" s="38" customFormat="1" ht="42" customHeight="1">
      <c r="A147" s="217" t="s">
        <v>229</v>
      </c>
      <c r="B147" s="218"/>
      <c r="C147" s="158">
        <f>SUM(C148:C150)</f>
        <v>175</v>
      </c>
      <c r="D147" s="62"/>
      <c r="E147" s="45">
        <f>SUM(E148:E150)</f>
        <v>484</v>
      </c>
      <c r="F147" s="45">
        <f>E127</f>
        <v>571</v>
      </c>
      <c r="G147" s="42" t="str">
        <f>A127</f>
        <v>KUNDA TRANS</v>
      </c>
      <c r="H147" s="100"/>
      <c r="I147" s="45">
        <f>SUM(I148:I150)</f>
        <v>537</v>
      </c>
      <c r="J147" s="45">
        <f>I135</f>
        <v>549</v>
      </c>
      <c r="K147" s="42" t="str">
        <f>A135</f>
        <v>Wiru Auto</v>
      </c>
      <c r="L147" s="102"/>
      <c r="M147" s="49">
        <f>SUM(M148:M150)</f>
        <v>500</v>
      </c>
      <c r="N147" s="45">
        <f>M143</f>
        <v>530</v>
      </c>
      <c r="O147" s="42" t="str">
        <f>A143</f>
        <v>LATER</v>
      </c>
      <c r="P147" s="102"/>
      <c r="Q147" s="49">
        <f>SUM(Q148:Q150)</f>
        <v>593</v>
      </c>
      <c r="R147" s="45">
        <f>Q131</f>
        <v>534</v>
      </c>
      <c r="S147" s="42" t="str">
        <f>A131</f>
        <v>Tapa Linnavalitsus</v>
      </c>
      <c r="T147" s="102"/>
      <c r="U147" s="49">
        <f>SUM(U148:U150)</f>
        <v>531</v>
      </c>
      <c r="V147" s="45">
        <f>U139</f>
        <v>516</v>
      </c>
      <c r="W147" s="42" t="str">
        <f>A139</f>
        <v>TOODE</v>
      </c>
      <c r="X147" s="36">
        <f t="shared" si="4"/>
        <v>2645</v>
      </c>
      <c r="Y147" s="105">
        <f>X147-5*C147</f>
        <v>1770</v>
      </c>
      <c r="Z147" s="37">
        <f>AVERAGE(Z148,Z149,Z150)</f>
        <v>176.33333333333334</v>
      </c>
      <c r="AA147" s="37">
        <f>AVERAGE(AA148,AA149,AA150)</f>
        <v>118</v>
      </c>
      <c r="AB147" s="219">
        <f>F148+J148+N148+R148+V148</f>
        <v>2</v>
      </c>
    </row>
    <row r="148" spans="1:28" s="38" customFormat="1" ht="15.75" customHeight="1">
      <c r="A148" s="222" t="s">
        <v>232</v>
      </c>
      <c r="B148" s="223"/>
      <c r="C148" s="159">
        <v>56</v>
      </c>
      <c r="D148" s="59">
        <v>109</v>
      </c>
      <c r="E148" s="50">
        <f>C148+D148</f>
        <v>165</v>
      </c>
      <c r="F148" s="224">
        <v>0</v>
      </c>
      <c r="G148" s="225"/>
      <c r="H148" s="97">
        <v>127</v>
      </c>
      <c r="I148" s="46">
        <f>H148+C148</f>
        <v>183</v>
      </c>
      <c r="J148" s="224">
        <v>0</v>
      </c>
      <c r="K148" s="225"/>
      <c r="L148" s="97">
        <v>95</v>
      </c>
      <c r="M148" s="50">
        <f>L148+C148</f>
        <v>151</v>
      </c>
      <c r="N148" s="224">
        <v>0</v>
      </c>
      <c r="O148" s="225"/>
      <c r="P148" s="97">
        <v>140</v>
      </c>
      <c r="Q148" s="50">
        <f>P148+C148</f>
        <v>196</v>
      </c>
      <c r="R148" s="224">
        <v>1</v>
      </c>
      <c r="S148" s="225"/>
      <c r="T148" s="97">
        <v>119</v>
      </c>
      <c r="U148" s="50">
        <f>T148+C148</f>
        <v>175</v>
      </c>
      <c r="V148" s="224">
        <v>1</v>
      </c>
      <c r="W148" s="225"/>
      <c r="X148" s="46">
        <f t="shared" si="4"/>
        <v>870</v>
      </c>
      <c r="Y148" s="106">
        <f>D148+H148+L148+P148+T148</f>
        <v>590</v>
      </c>
      <c r="Z148" s="67">
        <f>AVERAGE(E148,I148,M148,Q148,U148)</f>
        <v>174</v>
      </c>
      <c r="AA148" s="67">
        <f>AVERAGE(E148,I148,M148,Q148,U148)-C148</f>
        <v>118</v>
      </c>
      <c r="AB148" s="220"/>
    </row>
    <row r="149" spans="1:28" s="38" customFormat="1" ht="15.75" customHeight="1">
      <c r="A149" s="222" t="s">
        <v>230</v>
      </c>
      <c r="B149" s="223"/>
      <c r="C149" s="159">
        <v>59</v>
      </c>
      <c r="D149" s="59">
        <v>107</v>
      </c>
      <c r="E149" s="50">
        <f>C149+D149</f>
        <v>166</v>
      </c>
      <c r="F149" s="226"/>
      <c r="G149" s="227"/>
      <c r="H149" s="98">
        <v>113</v>
      </c>
      <c r="I149" s="46">
        <f>H149+C149</f>
        <v>172</v>
      </c>
      <c r="J149" s="226"/>
      <c r="K149" s="227"/>
      <c r="L149" s="98">
        <v>123</v>
      </c>
      <c r="M149" s="50">
        <f>L149+C149</f>
        <v>182</v>
      </c>
      <c r="N149" s="226"/>
      <c r="O149" s="227"/>
      <c r="P149" s="98">
        <v>149</v>
      </c>
      <c r="Q149" s="50">
        <f>P149+C149</f>
        <v>208</v>
      </c>
      <c r="R149" s="226"/>
      <c r="S149" s="227"/>
      <c r="T149" s="98">
        <v>121</v>
      </c>
      <c r="U149" s="50">
        <f>T149+C149</f>
        <v>180</v>
      </c>
      <c r="V149" s="226"/>
      <c r="W149" s="227"/>
      <c r="X149" s="46">
        <f t="shared" si="4"/>
        <v>908</v>
      </c>
      <c r="Y149" s="106">
        <f>D149+H149+L149+P149+T149</f>
        <v>613</v>
      </c>
      <c r="Z149" s="67">
        <f>AVERAGE(E149,I149,M149,Q149,U149)</f>
        <v>181.6</v>
      </c>
      <c r="AA149" s="67">
        <f>AVERAGE(E149,I149,M149,Q149,U149)-C149</f>
        <v>122.6</v>
      </c>
      <c r="AB149" s="220"/>
    </row>
    <row r="150" spans="1:28" s="38" customFormat="1" ht="15.75" customHeight="1" thickBot="1">
      <c r="A150" s="229" t="s">
        <v>231</v>
      </c>
      <c r="B150" s="230"/>
      <c r="C150" s="160">
        <v>60</v>
      </c>
      <c r="D150" s="60">
        <v>93</v>
      </c>
      <c r="E150" s="50">
        <f>C150+D150</f>
        <v>153</v>
      </c>
      <c r="F150" s="204"/>
      <c r="G150" s="228"/>
      <c r="H150" s="99">
        <v>122</v>
      </c>
      <c r="I150" s="46">
        <f>H150+C150</f>
        <v>182</v>
      </c>
      <c r="J150" s="204"/>
      <c r="K150" s="228"/>
      <c r="L150" s="99">
        <v>107</v>
      </c>
      <c r="M150" s="50">
        <f>L150+C150</f>
        <v>167</v>
      </c>
      <c r="N150" s="204"/>
      <c r="O150" s="228"/>
      <c r="P150" s="99">
        <v>129</v>
      </c>
      <c r="Q150" s="50">
        <f>P150+C150</f>
        <v>189</v>
      </c>
      <c r="R150" s="204"/>
      <c r="S150" s="228"/>
      <c r="T150" s="99">
        <v>116</v>
      </c>
      <c r="U150" s="50">
        <f>T150+C150</f>
        <v>176</v>
      </c>
      <c r="V150" s="204"/>
      <c r="W150" s="228"/>
      <c r="X150" s="47">
        <f t="shared" si="4"/>
        <v>867</v>
      </c>
      <c r="Y150" s="107">
        <f>D150+H150+L150+P150+T150</f>
        <v>567</v>
      </c>
      <c r="Z150" s="68">
        <f>AVERAGE(E150,I150,M150,Q150,U150)</f>
        <v>173.4</v>
      </c>
      <c r="AA150" s="68">
        <f>AVERAGE(E150,I150,M150,Q150,U150)-C150</f>
        <v>113.4</v>
      </c>
      <c r="AB150" s="221"/>
    </row>
    <row r="151" spans="1:28" s="40" customFormat="1" ht="97.5" customHeight="1">
      <c r="A151" s="233" t="s">
        <v>270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4"/>
      <c r="W151" s="25"/>
      <c r="Y151" s="57"/>
      <c r="Z151" s="41"/>
      <c r="AA151" s="121"/>
      <c r="AB151" s="25"/>
    </row>
    <row r="152" spans="1:28" s="40" customFormat="1" ht="4.5" customHeight="1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4"/>
      <c r="W152" s="25"/>
      <c r="Y152" s="57"/>
      <c r="Z152" s="41"/>
      <c r="AA152" s="121"/>
      <c r="AB152" s="25"/>
    </row>
    <row r="153" spans="1:28" s="40" customFormat="1" ht="23.2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4"/>
      <c r="W153" s="25"/>
      <c r="Y153" s="57"/>
      <c r="Z153" s="41"/>
      <c r="AA153" s="121"/>
      <c r="AB153" s="25"/>
    </row>
    <row r="154" spans="1:28" s="40" customFormat="1" ht="3.75" customHeight="1">
      <c r="A154" s="26"/>
      <c r="B154" s="26"/>
      <c r="C154" s="162"/>
      <c r="D154" s="54"/>
      <c r="E154" s="25"/>
      <c r="F154" s="25"/>
      <c r="G154" s="25"/>
      <c r="H154" s="57"/>
      <c r="I154" s="25"/>
      <c r="J154" s="25"/>
      <c r="K154" s="25"/>
      <c r="L154" s="57"/>
      <c r="M154" s="25"/>
      <c r="N154" s="25"/>
      <c r="O154" s="25"/>
      <c r="P154" s="57"/>
      <c r="Q154" s="25"/>
      <c r="R154" s="25"/>
      <c r="S154" s="25"/>
      <c r="T154" s="57"/>
      <c r="U154" s="25"/>
      <c r="V154" s="25"/>
      <c r="W154" s="25"/>
      <c r="Y154" s="57"/>
      <c r="Z154" s="41"/>
      <c r="AA154" s="121"/>
      <c r="AB154" s="25"/>
    </row>
    <row r="155" spans="1:28" s="31" customFormat="1" ht="15.75" customHeight="1">
      <c r="A155" s="209" t="s">
        <v>0</v>
      </c>
      <c r="B155" s="210"/>
      <c r="C155" s="156" t="s">
        <v>39</v>
      </c>
      <c r="D155" s="55"/>
      <c r="E155" s="27" t="s">
        <v>1</v>
      </c>
      <c r="F155" s="211" t="s">
        <v>2</v>
      </c>
      <c r="G155" s="212"/>
      <c r="H155" s="94"/>
      <c r="I155" s="27" t="s">
        <v>3</v>
      </c>
      <c r="J155" s="211" t="s">
        <v>2</v>
      </c>
      <c r="K155" s="212"/>
      <c r="L155" s="94"/>
      <c r="M155" s="27" t="s">
        <v>4</v>
      </c>
      <c r="N155" s="211" t="s">
        <v>2</v>
      </c>
      <c r="O155" s="212"/>
      <c r="P155" s="94"/>
      <c r="Q155" s="27" t="s">
        <v>5</v>
      </c>
      <c r="R155" s="211" t="s">
        <v>2</v>
      </c>
      <c r="S155" s="212"/>
      <c r="T155" s="94"/>
      <c r="U155" s="27" t="s">
        <v>6</v>
      </c>
      <c r="V155" s="211" t="s">
        <v>2</v>
      </c>
      <c r="W155" s="212"/>
      <c r="X155" s="28" t="s">
        <v>7</v>
      </c>
      <c r="Y155" s="104"/>
      <c r="Z155" s="29" t="s">
        <v>40</v>
      </c>
      <c r="AA155" s="52" t="s">
        <v>42</v>
      </c>
      <c r="AB155" s="30" t="s">
        <v>7</v>
      </c>
    </row>
    <row r="156" spans="1:28" s="31" customFormat="1" ht="15.75" customHeight="1" thickBot="1">
      <c r="A156" s="213" t="s">
        <v>9</v>
      </c>
      <c r="B156" s="214"/>
      <c r="C156" s="157"/>
      <c r="D156" s="56"/>
      <c r="E156" s="32" t="s">
        <v>10</v>
      </c>
      <c r="F156" s="211" t="s">
        <v>11</v>
      </c>
      <c r="G156" s="212"/>
      <c r="H156" s="95"/>
      <c r="I156" s="32" t="s">
        <v>10</v>
      </c>
      <c r="J156" s="215" t="s">
        <v>11</v>
      </c>
      <c r="K156" s="216"/>
      <c r="L156" s="95"/>
      <c r="M156" s="32" t="s">
        <v>10</v>
      </c>
      <c r="N156" s="215" t="s">
        <v>11</v>
      </c>
      <c r="O156" s="216"/>
      <c r="P156" s="95"/>
      <c r="Q156" s="32" t="s">
        <v>10</v>
      </c>
      <c r="R156" s="215" t="s">
        <v>11</v>
      </c>
      <c r="S156" s="216"/>
      <c r="T156" s="95"/>
      <c r="U156" s="32" t="s">
        <v>10</v>
      </c>
      <c r="V156" s="215" t="s">
        <v>11</v>
      </c>
      <c r="W156" s="216"/>
      <c r="X156" s="33" t="s">
        <v>10</v>
      </c>
      <c r="Y156" s="84"/>
      <c r="Z156" s="34" t="s">
        <v>41</v>
      </c>
      <c r="AA156" s="53" t="s">
        <v>43</v>
      </c>
      <c r="AB156" s="35" t="s">
        <v>12</v>
      </c>
    </row>
    <row r="157" spans="1:28" s="38" customFormat="1" ht="42" customHeight="1">
      <c r="A157" s="217" t="s">
        <v>13</v>
      </c>
      <c r="B157" s="218"/>
      <c r="C157" s="158">
        <f>SUM(C158:C160)</f>
        <v>158</v>
      </c>
      <c r="D157" s="62"/>
      <c r="E157" s="63">
        <f>SUM(E158:E160)</f>
        <v>528</v>
      </c>
      <c r="F157" s="46">
        <f>E177</f>
        <v>494</v>
      </c>
      <c r="G157" s="64" t="str">
        <f>A177</f>
        <v>Uus Maa</v>
      </c>
      <c r="H157" s="96"/>
      <c r="I157" s="49">
        <f>SUM(I158:I160)</f>
        <v>505</v>
      </c>
      <c r="J157" s="49">
        <f>I173</f>
        <v>510</v>
      </c>
      <c r="K157" s="42" t="str">
        <f>A173</f>
        <v>Vest-Wood 3</v>
      </c>
      <c r="L157" s="100"/>
      <c r="M157" s="45">
        <f>SUM(M158:M160)</f>
        <v>536</v>
      </c>
      <c r="N157" s="45">
        <f>M169</f>
        <v>0</v>
      </c>
      <c r="O157" s="42" t="str">
        <f>A169</f>
        <v>Wiru Ehitus</v>
      </c>
      <c r="P157" s="100"/>
      <c r="Q157" s="45">
        <f>SUM(Q158:Q160)</f>
        <v>467</v>
      </c>
      <c r="R157" s="45">
        <f>Q165</f>
        <v>493</v>
      </c>
      <c r="S157" s="42" t="str">
        <f>A165</f>
        <v>LAJOS 1</v>
      </c>
      <c r="T157" s="100"/>
      <c r="U157" s="45">
        <f>SUM(U158:U160)</f>
        <v>607</v>
      </c>
      <c r="V157" s="45">
        <f>U161</f>
        <v>580</v>
      </c>
      <c r="W157" s="42" t="str">
        <f>A161</f>
        <v>Näpi Saeveski 2</v>
      </c>
      <c r="X157" s="36">
        <f aca="true" t="shared" si="5" ref="X157:X180">E157+I157+M157+Q157+U157</f>
        <v>2643</v>
      </c>
      <c r="Y157" s="105">
        <f>X157-5*C157</f>
        <v>1853</v>
      </c>
      <c r="Z157" s="37">
        <f>AVERAGE(Z158,Z159,Z160)</f>
        <v>176.20000000000002</v>
      </c>
      <c r="AA157" s="65">
        <f>AVERAGE(AA158,AA159,AA160)</f>
        <v>123.53333333333335</v>
      </c>
      <c r="AB157" s="219">
        <f>F158+J158+N158+R158+V158</f>
        <v>3</v>
      </c>
    </row>
    <row r="158" spans="1:28" s="38" customFormat="1" ht="15.75" customHeight="1">
      <c r="A158" s="222" t="s">
        <v>57</v>
      </c>
      <c r="B158" s="223"/>
      <c r="C158" s="159">
        <v>60</v>
      </c>
      <c r="D158" s="59">
        <v>117</v>
      </c>
      <c r="E158" s="50">
        <f>C158+D158</f>
        <v>177</v>
      </c>
      <c r="F158" s="224">
        <v>1</v>
      </c>
      <c r="G158" s="225"/>
      <c r="H158" s="97">
        <v>100</v>
      </c>
      <c r="I158" s="46">
        <f>C158+H158</f>
        <v>160</v>
      </c>
      <c r="J158" s="224">
        <v>0</v>
      </c>
      <c r="K158" s="225"/>
      <c r="L158" s="97">
        <v>101</v>
      </c>
      <c r="M158" s="50">
        <f>L158+C158</f>
        <v>161</v>
      </c>
      <c r="N158" s="224">
        <v>1</v>
      </c>
      <c r="O158" s="225"/>
      <c r="P158" s="97">
        <v>81</v>
      </c>
      <c r="Q158" s="50">
        <f>P158+C158</f>
        <v>141</v>
      </c>
      <c r="R158" s="224">
        <v>0</v>
      </c>
      <c r="S158" s="225"/>
      <c r="T158" s="97">
        <v>132</v>
      </c>
      <c r="U158" s="50">
        <f>T158+C158</f>
        <v>192</v>
      </c>
      <c r="V158" s="224">
        <v>1</v>
      </c>
      <c r="W158" s="225"/>
      <c r="X158" s="46">
        <f t="shared" si="5"/>
        <v>831</v>
      </c>
      <c r="Y158" s="106">
        <f>D158+H158+L158+P158+T158</f>
        <v>531</v>
      </c>
      <c r="Z158" s="67">
        <f>AVERAGE(E158,I158,M158,Q158,U158)</f>
        <v>166.2</v>
      </c>
      <c r="AA158" s="67">
        <f>AVERAGE(E158,I158,M158,Q158,U158)-C158</f>
        <v>106.19999999999999</v>
      </c>
      <c r="AB158" s="220"/>
    </row>
    <row r="159" spans="1:28" s="38" customFormat="1" ht="15.75" customHeight="1">
      <c r="A159" s="222" t="s">
        <v>56</v>
      </c>
      <c r="B159" s="223"/>
      <c r="C159" s="159">
        <v>42</v>
      </c>
      <c r="D159" s="59">
        <v>138</v>
      </c>
      <c r="E159" s="50">
        <f>C159+D159</f>
        <v>180</v>
      </c>
      <c r="F159" s="226"/>
      <c r="G159" s="227"/>
      <c r="H159" s="98">
        <v>142</v>
      </c>
      <c r="I159" s="46">
        <f>C159+H159</f>
        <v>184</v>
      </c>
      <c r="J159" s="226"/>
      <c r="K159" s="227"/>
      <c r="L159" s="98">
        <v>162</v>
      </c>
      <c r="M159" s="50">
        <f>L159+C159</f>
        <v>204</v>
      </c>
      <c r="N159" s="226"/>
      <c r="O159" s="227"/>
      <c r="P159" s="98">
        <v>141</v>
      </c>
      <c r="Q159" s="50">
        <f>P159+C159</f>
        <v>183</v>
      </c>
      <c r="R159" s="226"/>
      <c r="S159" s="227"/>
      <c r="T159" s="98">
        <v>162</v>
      </c>
      <c r="U159" s="50">
        <f>T159+C159</f>
        <v>204</v>
      </c>
      <c r="V159" s="226"/>
      <c r="W159" s="227"/>
      <c r="X159" s="46">
        <f t="shared" si="5"/>
        <v>955</v>
      </c>
      <c r="Y159" s="106">
        <f>D159+H159+L159+P159+T159</f>
        <v>745</v>
      </c>
      <c r="Z159" s="67">
        <f>AVERAGE(E159,I159,M159,Q159,U159)</f>
        <v>191</v>
      </c>
      <c r="AA159" s="67">
        <f>AVERAGE(E159,I159,M159,Q159,U159)-C159</f>
        <v>149</v>
      </c>
      <c r="AB159" s="220"/>
    </row>
    <row r="160" spans="1:28" s="38" customFormat="1" ht="16.5" customHeight="1" thickBot="1">
      <c r="A160" s="229" t="s">
        <v>58</v>
      </c>
      <c r="B160" s="230"/>
      <c r="C160" s="160">
        <v>56</v>
      </c>
      <c r="D160" s="60">
        <v>115</v>
      </c>
      <c r="E160" s="50">
        <f>C160+D160</f>
        <v>171</v>
      </c>
      <c r="F160" s="204"/>
      <c r="G160" s="228"/>
      <c r="H160" s="99">
        <v>105</v>
      </c>
      <c r="I160" s="46">
        <f>C160+H160</f>
        <v>161</v>
      </c>
      <c r="J160" s="204"/>
      <c r="K160" s="228"/>
      <c r="L160" s="99">
        <v>115</v>
      </c>
      <c r="M160" s="50">
        <f>L160+C160</f>
        <v>171</v>
      </c>
      <c r="N160" s="204"/>
      <c r="O160" s="228"/>
      <c r="P160" s="99">
        <v>87</v>
      </c>
      <c r="Q160" s="50">
        <f>P160+C160</f>
        <v>143</v>
      </c>
      <c r="R160" s="204"/>
      <c r="S160" s="228"/>
      <c r="T160" s="99">
        <v>155</v>
      </c>
      <c r="U160" s="50">
        <f>T160+C160</f>
        <v>211</v>
      </c>
      <c r="V160" s="204"/>
      <c r="W160" s="228"/>
      <c r="X160" s="47">
        <f t="shared" si="5"/>
        <v>857</v>
      </c>
      <c r="Y160" s="107">
        <f>D160+H160+L160+P160+T160</f>
        <v>577</v>
      </c>
      <c r="Z160" s="68">
        <f>AVERAGE(E160,I160,M160,Q160,U160)</f>
        <v>171.4</v>
      </c>
      <c r="AA160" s="68">
        <f>AVERAGE(E160,I160,M160,Q160,U160)-C160</f>
        <v>115.4</v>
      </c>
      <c r="AB160" s="221"/>
    </row>
    <row r="161" spans="1:28" s="38" customFormat="1" ht="41.25" customHeight="1">
      <c r="A161" s="217" t="s">
        <v>241</v>
      </c>
      <c r="B161" s="218"/>
      <c r="C161" s="158">
        <f>SUM(C162:C164)</f>
        <v>163</v>
      </c>
      <c r="D161" s="62"/>
      <c r="E161" s="45">
        <f>SUM(E162:E164)</f>
        <v>566</v>
      </c>
      <c r="F161" s="45">
        <f>E173</f>
        <v>516</v>
      </c>
      <c r="G161" s="42" t="str">
        <f>A173</f>
        <v>Vest-Wood 3</v>
      </c>
      <c r="H161" s="100"/>
      <c r="I161" s="45">
        <f>SUM(I162:I164)</f>
        <v>583</v>
      </c>
      <c r="J161" s="46">
        <f>I169</f>
        <v>0</v>
      </c>
      <c r="K161" s="42" t="str">
        <f>A169</f>
        <v>Wiru Ehitus</v>
      </c>
      <c r="L161" s="102"/>
      <c r="M161" s="49">
        <f>SUM(M162:M164)</f>
        <v>541</v>
      </c>
      <c r="N161" s="45">
        <f>M165</f>
        <v>580</v>
      </c>
      <c r="O161" s="42" t="str">
        <f>A165</f>
        <v>LAJOS 1</v>
      </c>
      <c r="P161" s="102"/>
      <c r="Q161" s="49">
        <f>SUM(Q162:Q164)</f>
        <v>511</v>
      </c>
      <c r="R161" s="45">
        <f>Q177</f>
        <v>494</v>
      </c>
      <c r="S161" s="42" t="str">
        <f>A177</f>
        <v>Uus Maa</v>
      </c>
      <c r="T161" s="102"/>
      <c r="U161" s="49">
        <f>SUM(U162:U164)</f>
        <v>580</v>
      </c>
      <c r="V161" s="45">
        <f>U157</f>
        <v>607</v>
      </c>
      <c r="W161" s="42" t="str">
        <f>A157</f>
        <v>AKAT 2</v>
      </c>
      <c r="X161" s="36">
        <f t="shared" si="5"/>
        <v>2781</v>
      </c>
      <c r="Y161" s="105">
        <f>X161-5*C161</f>
        <v>1966</v>
      </c>
      <c r="Z161" s="37">
        <f>AVERAGE(Z162,Z163,Z164)</f>
        <v>185.4</v>
      </c>
      <c r="AA161" s="37">
        <f>AVERAGE(AA162,AA163,AA164)</f>
        <v>131.06666666666666</v>
      </c>
      <c r="AB161" s="220">
        <f>F162+J162+N162+R162+V162</f>
        <v>3</v>
      </c>
    </row>
    <row r="162" spans="1:28" s="38" customFormat="1" ht="15.75" customHeight="1">
      <c r="A162" s="222" t="s">
        <v>242</v>
      </c>
      <c r="B162" s="223"/>
      <c r="C162" s="159">
        <v>60</v>
      </c>
      <c r="D162" s="59">
        <v>108</v>
      </c>
      <c r="E162" s="50">
        <f>C162+D162</f>
        <v>168</v>
      </c>
      <c r="F162" s="224">
        <v>1</v>
      </c>
      <c r="G162" s="225"/>
      <c r="H162" s="97">
        <v>144</v>
      </c>
      <c r="I162" s="46">
        <f>C162+H162</f>
        <v>204</v>
      </c>
      <c r="J162" s="224">
        <v>1</v>
      </c>
      <c r="K162" s="225"/>
      <c r="L162" s="97">
        <v>116</v>
      </c>
      <c r="M162" s="50">
        <f>L162+C162</f>
        <v>176</v>
      </c>
      <c r="N162" s="224">
        <v>0</v>
      </c>
      <c r="O162" s="225"/>
      <c r="P162" s="97">
        <v>87</v>
      </c>
      <c r="Q162" s="50">
        <f>P162+C162</f>
        <v>147</v>
      </c>
      <c r="R162" s="224">
        <v>1</v>
      </c>
      <c r="S162" s="225"/>
      <c r="T162" s="97">
        <v>141</v>
      </c>
      <c r="U162" s="50">
        <f>T162+C162</f>
        <v>201</v>
      </c>
      <c r="V162" s="224">
        <v>0</v>
      </c>
      <c r="W162" s="225"/>
      <c r="X162" s="46">
        <f t="shared" si="5"/>
        <v>896</v>
      </c>
      <c r="Y162" s="106">
        <f>D162+H162+L162+P162+T162</f>
        <v>596</v>
      </c>
      <c r="Z162" s="67">
        <f>AVERAGE(E162,I162,M162,Q162,U162)</f>
        <v>179.2</v>
      </c>
      <c r="AA162" s="67">
        <f>AVERAGE(E162,I162,M162,Q162,U162)-C162</f>
        <v>119.19999999999999</v>
      </c>
      <c r="AB162" s="220"/>
    </row>
    <row r="163" spans="1:28" s="38" customFormat="1" ht="15.75" customHeight="1">
      <c r="A163" s="222" t="s">
        <v>267</v>
      </c>
      <c r="B163" s="223"/>
      <c r="C163" s="159">
        <v>51</v>
      </c>
      <c r="D163" s="59">
        <v>139</v>
      </c>
      <c r="E163" s="50">
        <f>C163+D163</f>
        <v>190</v>
      </c>
      <c r="F163" s="226"/>
      <c r="G163" s="227"/>
      <c r="H163" s="98">
        <v>140</v>
      </c>
      <c r="I163" s="46">
        <f>C163+H163</f>
        <v>191</v>
      </c>
      <c r="J163" s="226"/>
      <c r="K163" s="227"/>
      <c r="L163" s="98">
        <v>125</v>
      </c>
      <c r="M163" s="50">
        <f>L163+C163</f>
        <v>176</v>
      </c>
      <c r="N163" s="226"/>
      <c r="O163" s="227"/>
      <c r="P163" s="98">
        <v>116</v>
      </c>
      <c r="Q163" s="50">
        <f>P163+C163</f>
        <v>167</v>
      </c>
      <c r="R163" s="226"/>
      <c r="S163" s="227"/>
      <c r="T163" s="98">
        <v>105</v>
      </c>
      <c r="U163" s="50">
        <f>T163+C163</f>
        <v>156</v>
      </c>
      <c r="V163" s="226"/>
      <c r="W163" s="227"/>
      <c r="X163" s="46">
        <f t="shared" si="5"/>
        <v>880</v>
      </c>
      <c r="Y163" s="106">
        <f>D163+H163+L163+P163+T163</f>
        <v>625</v>
      </c>
      <c r="Z163" s="67">
        <f>AVERAGE(E163,I163,M163,Q163,U163)</f>
        <v>176</v>
      </c>
      <c r="AA163" s="67">
        <f>AVERAGE(E163,I163,M163,Q163,U163)-C163</f>
        <v>125</v>
      </c>
      <c r="AB163" s="220"/>
    </row>
    <row r="164" spans="1:28" s="38" customFormat="1" ht="15.75" customHeight="1" thickBot="1">
      <c r="A164" s="229" t="s">
        <v>268</v>
      </c>
      <c r="B164" s="230"/>
      <c r="C164" s="160">
        <v>52</v>
      </c>
      <c r="D164" s="60">
        <v>156</v>
      </c>
      <c r="E164" s="50">
        <f>C164+D164</f>
        <v>208</v>
      </c>
      <c r="F164" s="204"/>
      <c r="G164" s="228"/>
      <c r="H164" s="99">
        <v>136</v>
      </c>
      <c r="I164" s="46">
        <f>C164+H164</f>
        <v>188</v>
      </c>
      <c r="J164" s="204"/>
      <c r="K164" s="228"/>
      <c r="L164" s="99">
        <v>137</v>
      </c>
      <c r="M164" s="50">
        <f>L164+C164</f>
        <v>189</v>
      </c>
      <c r="N164" s="204"/>
      <c r="O164" s="228"/>
      <c r="P164" s="99">
        <v>145</v>
      </c>
      <c r="Q164" s="50">
        <f>P164+C164</f>
        <v>197</v>
      </c>
      <c r="R164" s="204"/>
      <c r="S164" s="228"/>
      <c r="T164" s="99">
        <v>171</v>
      </c>
      <c r="U164" s="50">
        <f>T164+C164</f>
        <v>223</v>
      </c>
      <c r="V164" s="204"/>
      <c r="W164" s="228"/>
      <c r="X164" s="47">
        <f t="shared" si="5"/>
        <v>1005</v>
      </c>
      <c r="Y164" s="107">
        <f>D164+H164+L164+P164+T164</f>
        <v>745</v>
      </c>
      <c r="Z164" s="68">
        <f>AVERAGE(E164,I164,M164,Q164,U164)</f>
        <v>201</v>
      </c>
      <c r="AA164" s="68">
        <f>AVERAGE(E164,I164,M164,Q164,U164)-C164</f>
        <v>149</v>
      </c>
      <c r="AB164" s="221"/>
    </row>
    <row r="165" spans="1:28" s="38" customFormat="1" ht="47.25" customHeight="1">
      <c r="A165" s="217" t="s">
        <v>14</v>
      </c>
      <c r="B165" s="218"/>
      <c r="C165" s="158">
        <f>SUM(C166:C168)</f>
        <v>157</v>
      </c>
      <c r="D165" s="62"/>
      <c r="E165" s="45">
        <f>SUM(E166:E168)</f>
        <v>461</v>
      </c>
      <c r="F165" s="45">
        <f>E169</f>
        <v>0</v>
      </c>
      <c r="G165" s="42" t="str">
        <f>A169</f>
        <v>Wiru Ehitus</v>
      </c>
      <c r="H165" s="100"/>
      <c r="I165" s="45">
        <f>SUM(I166:I168)</f>
        <v>537</v>
      </c>
      <c r="J165" s="45">
        <f>I177</f>
        <v>511</v>
      </c>
      <c r="K165" s="42" t="str">
        <f>A177</f>
        <v>Uus Maa</v>
      </c>
      <c r="L165" s="103"/>
      <c r="M165" s="69">
        <f>SUM(M166:M168)</f>
        <v>580</v>
      </c>
      <c r="N165" s="45">
        <f>M161</f>
        <v>541</v>
      </c>
      <c r="O165" s="42" t="str">
        <f>A161</f>
        <v>Näpi Saeveski 2</v>
      </c>
      <c r="P165" s="103"/>
      <c r="Q165" s="69">
        <f>SUM(Q166:Q168)</f>
        <v>493</v>
      </c>
      <c r="R165" s="45">
        <f>Q157</f>
        <v>467</v>
      </c>
      <c r="S165" s="42" t="str">
        <f>A157</f>
        <v>AKAT 2</v>
      </c>
      <c r="T165" s="103"/>
      <c r="U165" s="69">
        <f>SUM(U166:U168)</f>
        <v>514</v>
      </c>
      <c r="V165" s="45">
        <f>U173</f>
        <v>487</v>
      </c>
      <c r="W165" s="42" t="str">
        <f>A173</f>
        <v>Vest-Wood 3</v>
      </c>
      <c r="X165" s="36">
        <f t="shared" si="5"/>
        <v>2585</v>
      </c>
      <c r="Y165" s="105">
        <f>X165-5*C165</f>
        <v>1800</v>
      </c>
      <c r="Z165" s="37">
        <f>AVERAGE(Z166,Z167,Z168)</f>
        <v>172.33333333333334</v>
      </c>
      <c r="AA165" s="37">
        <f>AVERAGE(AA166,AA167,AA168)</f>
        <v>120</v>
      </c>
      <c r="AB165" s="219">
        <f>F166+J166+N166+R166+V166</f>
        <v>5</v>
      </c>
    </row>
    <row r="166" spans="1:28" s="38" customFormat="1" ht="15.75" customHeight="1">
      <c r="A166" s="222" t="s">
        <v>55</v>
      </c>
      <c r="B166" s="223"/>
      <c r="C166" s="159">
        <v>57</v>
      </c>
      <c r="D166" s="59">
        <v>112</v>
      </c>
      <c r="E166" s="50">
        <f>C166+D166</f>
        <v>169</v>
      </c>
      <c r="F166" s="224">
        <v>1</v>
      </c>
      <c r="G166" s="225"/>
      <c r="H166" s="97">
        <v>127</v>
      </c>
      <c r="I166" s="46">
        <f>C166+H166</f>
        <v>184</v>
      </c>
      <c r="J166" s="224">
        <v>1</v>
      </c>
      <c r="K166" s="225"/>
      <c r="L166" s="97">
        <v>127</v>
      </c>
      <c r="M166" s="50">
        <f>L166+C166</f>
        <v>184</v>
      </c>
      <c r="N166" s="224">
        <v>1</v>
      </c>
      <c r="O166" s="225"/>
      <c r="P166" s="97">
        <v>108</v>
      </c>
      <c r="Q166" s="50">
        <f>P166+C166</f>
        <v>165</v>
      </c>
      <c r="R166" s="224">
        <v>1</v>
      </c>
      <c r="S166" s="225"/>
      <c r="T166" s="97">
        <v>111</v>
      </c>
      <c r="U166" s="50">
        <f>T166+C166</f>
        <v>168</v>
      </c>
      <c r="V166" s="224">
        <v>1</v>
      </c>
      <c r="W166" s="225"/>
      <c r="X166" s="46">
        <f t="shared" si="5"/>
        <v>870</v>
      </c>
      <c r="Y166" s="106">
        <f>D166+H166+L166+P166+T166</f>
        <v>585</v>
      </c>
      <c r="Z166" s="67">
        <f>AVERAGE(E166,I166,M166,Q166,U166)</f>
        <v>174</v>
      </c>
      <c r="AA166" s="67">
        <f>AVERAGE(E166,I166,M166,Q166,U166)-C166</f>
        <v>117</v>
      </c>
      <c r="AB166" s="220"/>
    </row>
    <row r="167" spans="1:28" s="38" customFormat="1" ht="15.75" customHeight="1">
      <c r="A167" s="222" t="s">
        <v>53</v>
      </c>
      <c r="B167" s="223"/>
      <c r="C167" s="159">
        <v>60</v>
      </c>
      <c r="D167" s="59">
        <v>95</v>
      </c>
      <c r="E167" s="50">
        <f>C167+D167</f>
        <v>155</v>
      </c>
      <c r="F167" s="226"/>
      <c r="G167" s="227"/>
      <c r="H167" s="98">
        <v>103</v>
      </c>
      <c r="I167" s="46">
        <f>C167+H167</f>
        <v>163</v>
      </c>
      <c r="J167" s="226"/>
      <c r="K167" s="227"/>
      <c r="L167" s="98">
        <v>142</v>
      </c>
      <c r="M167" s="50">
        <f>L167+C167</f>
        <v>202</v>
      </c>
      <c r="N167" s="226"/>
      <c r="O167" s="227"/>
      <c r="P167" s="98">
        <v>101</v>
      </c>
      <c r="Q167" s="50">
        <f>P167+C167</f>
        <v>161</v>
      </c>
      <c r="R167" s="226"/>
      <c r="S167" s="227"/>
      <c r="T167" s="98">
        <v>114</v>
      </c>
      <c r="U167" s="50">
        <f>T167+C167</f>
        <v>174</v>
      </c>
      <c r="V167" s="226"/>
      <c r="W167" s="227"/>
      <c r="X167" s="46">
        <f t="shared" si="5"/>
        <v>855</v>
      </c>
      <c r="Y167" s="106">
        <f>D167+H167+L167+P167+T167</f>
        <v>555</v>
      </c>
      <c r="Z167" s="67">
        <f>AVERAGE(E167,I167,M167,Q167,U167)</f>
        <v>171</v>
      </c>
      <c r="AA167" s="67">
        <f>AVERAGE(E167,I167,M167,Q167,U167)-C167</f>
        <v>111</v>
      </c>
      <c r="AB167" s="220"/>
    </row>
    <row r="168" spans="1:28" s="38" customFormat="1" ht="15.75" customHeight="1" thickBot="1">
      <c r="A168" s="229" t="s">
        <v>54</v>
      </c>
      <c r="B168" s="230"/>
      <c r="C168" s="160">
        <v>40</v>
      </c>
      <c r="D168" s="60">
        <v>97</v>
      </c>
      <c r="E168" s="50">
        <f>C168+D168</f>
        <v>137</v>
      </c>
      <c r="F168" s="204"/>
      <c r="G168" s="228"/>
      <c r="H168" s="99">
        <v>150</v>
      </c>
      <c r="I168" s="46">
        <f>C168+H168</f>
        <v>190</v>
      </c>
      <c r="J168" s="204"/>
      <c r="K168" s="228"/>
      <c r="L168" s="99">
        <v>154</v>
      </c>
      <c r="M168" s="50">
        <f>L168+C168</f>
        <v>194</v>
      </c>
      <c r="N168" s="204"/>
      <c r="O168" s="228"/>
      <c r="P168" s="99">
        <v>127</v>
      </c>
      <c r="Q168" s="50">
        <f>P168+C168</f>
        <v>167</v>
      </c>
      <c r="R168" s="204"/>
      <c r="S168" s="228"/>
      <c r="T168" s="99">
        <v>132</v>
      </c>
      <c r="U168" s="50">
        <f>T168+C168</f>
        <v>172</v>
      </c>
      <c r="V168" s="204"/>
      <c r="W168" s="228"/>
      <c r="X168" s="47">
        <f t="shared" si="5"/>
        <v>860</v>
      </c>
      <c r="Y168" s="107">
        <f>D168+H168+L168+P168+T168</f>
        <v>660</v>
      </c>
      <c r="Z168" s="68">
        <f>AVERAGE(E168,I168,M168,Q168,U168)</f>
        <v>172</v>
      </c>
      <c r="AA168" s="68">
        <f>AVERAGE(E168,I168,M168,Q168,U168)-C168</f>
        <v>132</v>
      </c>
      <c r="AB168" s="221"/>
    </row>
    <row r="169" spans="1:28" s="38" customFormat="1" ht="39" customHeight="1">
      <c r="A169" s="217" t="s">
        <v>237</v>
      </c>
      <c r="B169" s="218"/>
      <c r="C169" s="158">
        <f>SUM(C170:C172)</f>
        <v>0</v>
      </c>
      <c r="D169" s="92"/>
      <c r="E169" s="48">
        <f>SUM(E170:E172)</f>
        <v>0</v>
      </c>
      <c r="F169" s="48">
        <f>E165</f>
        <v>461</v>
      </c>
      <c r="G169" s="43" t="str">
        <f>A165</f>
        <v>LAJOS 1</v>
      </c>
      <c r="H169" s="101"/>
      <c r="I169" s="48">
        <f>SUM(I170:I172)</f>
        <v>0</v>
      </c>
      <c r="J169" s="48">
        <f>I161</f>
        <v>583</v>
      </c>
      <c r="K169" s="43" t="str">
        <f>A161</f>
        <v>Näpi Saeveski 2</v>
      </c>
      <c r="L169" s="96"/>
      <c r="M169" s="49">
        <f>SUM(M170:M172)</f>
        <v>0</v>
      </c>
      <c r="N169" s="48">
        <f>M157</f>
        <v>536</v>
      </c>
      <c r="O169" s="43" t="str">
        <f>A157</f>
        <v>AKAT 2</v>
      </c>
      <c r="P169" s="96"/>
      <c r="Q169" s="49">
        <f>SUM(Q170:Q172)</f>
        <v>0</v>
      </c>
      <c r="R169" s="48">
        <f>Q173</f>
        <v>540</v>
      </c>
      <c r="S169" s="43" t="str">
        <f>A173</f>
        <v>Vest-Wood 3</v>
      </c>
      <c r="T169" s="96"/>
      <c r="U169" s="49">
        <f>SUM(U170:U172)</f>
        <v>0</v>
      </c>
      <c r="V169" s="48">
        <f>U177</f>
        <v>515</v>
      </c>
      <c r="W169" s="43" t="str">
        <f>A177</f>
        <v>Uus Maa</v>
      </c>
      <c r="X169" s="36">
        <f t="shared" si="5"/>
        <v>0</v>
      </c>
      <c r="Y169" s="105">
        <f>X169-5*C169</f>
        <v>0</v>
      </c>
      <c r="Z169" s="37">
        <f>AVERAGE(Z170,Z171,Z172)</f>
        <v>0</v>
      </c>
      <c r="AA169" s="37">
        <f>AVERAGE(AA170,AA171,AA172)</f>
        <v>0</v>
      </c>
      <c r="AB169" s="219">
        <f>F170+J170+N170+R170+V170</f>
        <v>0</v>
      </c>
    </row>
    <row r="170" spans="1:28" s="38" customFormat="1" ht="15.75" customHeight="1">
      <c r="A170" s="222"/>
      <c r="B170" s="223"/>
      <c r="C170" s="159"/>
      <c r="D170" s="59"/>
      <c r="E170" s="50">
        <f>C170+D170</f>
        <v>0</v>
      </c>
      <c r="F170" s="224"/>
      <c r="G170" s="225"/>
      <c r="H170" s="97"/>
      <c r="I170" s="46">
        <f>C170+H170</f>
        <v>0</v>
      </c>
      <c r="J170" s="224"/>
      <c r="K170" s="225"/>
      <c r="L170" s="97"/>
      <c r="M170" s="50">
        <f>L170+C170</f>
        <v>0</v>
      </c>
      <c r="N170" s="224"/>
      <c r="O170" s="225"/>
      <c r="P170" s="97"/>
      <c r="Q170" s="50">
        <f>P170+C170</f>
        <v>0</v>
      </c>
      <c r="R170" s="224"/>
      <c r="S170" s="225"/>
      <c r="T170" s="97"/>
      <c r="U170" s="50">
        <f>T170+C170</f>
        <v>0</v>
      </c>
      <c r="V170" s="224"/>
      <c r="W170" s="225"/>
      <c r="X170" s="46">
        <f t="shared" si="5"/>
        <v>0</v>
      </c>
      <c r="Y170" s="106">
        <f>D170+H170+L170+P170+T170</f>
        <v>0</v>
      </c>
      <c r="Z170" s="67">
        <f>AVERAGE(E170,I170,M170,Q170,U170)</f>
        <v>0</v>
      </c>
      <c r="AA170" s="67">
        <f>AVERAGE(E170,I170,M170,Q170,U170)-C170</f>
        <v>0</v>
      </c>
      <c r="AB170" s="220"/>
    </row>
    <row r="171" spans="1:28" s="38" customFormat="1" ht="15.75" customHeight="1">
      <c r="A171" s="222"/>
      <c r="B171" s="223"/>
      <c r="C171" s="159"/>
      <c r="D171" s="59"/>
      <c r="E171" s="50">
        <f>C171+D171</f>
        <v>0</v>
      </c>
      <c r="F171" s="226"/>
      <c r="G171" s="227"/>
      <c r="H171" s="98"/>
      <c r="I171" s="46">
        <f>C171+H171</f>
        <v>0</v>
      </c>
      <c r="J171" s="226"/>
      <c r="K171" s="227"/>
      <c r="L171" s="98"/>
      <c r="M171" s="50">
        <f>L171+C171</f>
        <v>0</v>
      </c>
      <c r="N171" s="226"/>
      <c r="O171" s="227"/>
      <c r="P171" s="98"/>
      <c r="Q171" s="50">
        <f>P171+C171</f>
        <v>0</v>
      </c>
      <c r="R171" s="226"/>
      <c r="S171" s="227"/>
      <c r="T171" s="98"/>
      <c r="U171" s="50">
        <f>T171+C171</f>
        <v>0</v>
      </c>
      <c r="V171" s="226"/>
      <c r="W171" s="227"/>
      <c r="X171" s="46">
        <f t="shared" si="5"/>
        <v>0</v>
      </c>
      <c r="Y171" s="106">
        <f>D171+H171+L171+P171+T171</f>
        <v>0</v>
      </c>
      <c r="Z171" s="67">
        <f>AVERAGE(E171,I171,M171,Q171,U171)</f>
        <v>0</v>
      </c>
      <c r="AA171" s="67">
        <f>AVERAGE(E171,I171,M171,Q171,U171)-C171</f>
        <v>0</v>
      </c>
      <c r="AB171" s="220"/>
    </row>
    <row r="172" spans="1:29" s="38" customFormat="1" ht="15.75" customHeight="1" thickBot="1">
      <c r="A172" s="229"/>
      <c r="B172" s="230"/>
      <c r="C172" s="160"/>
      <c r="D172" s="60"/>
      <c r="E172" s="50">
        <f>C172+D172</f>
        <v>0</v>
      </c>
      <c r="F172" s="204"/>
      <c r="G172" s="228"/>
      <c r="H172" s="99"/>
      <c r="I172" s="46">
        <f>C172+H172</f>
        <v>0</v>
      </c>
      <c r="J172" s="204"/>
      <c r="K172" s="228"/>
      <c r="L172" s="99"/>
      <c r="M172" s="50">
        <f>L172+C172</f>
        <v>0</v>
      </c>
      <c r="N172" s="204"/>
      <c r="O172" s="228"/>
      <c r="P172" s="99"/>
      <c r="Q172" s="50">
        <f>P172+C172</f>
        <v>0</v>
      </c>
      <c r="R172" s="204"/>
      <c r="S172" s="228"/>
      <c r="T172" s="99"/>
      <c r="U172" s="50">
        <f>T172+C172</f>
        <v>0</v>
      </c>
      <c r="V172" s="204"/>
      <c r="W172" s="228"/>
      <c r="X172" s="47">
        <f t="shared" si="5"/>
        <v>0</v>
      </c>
      <c r="Y172" s="107">
        <f>D172+H172+L172+P172+T172</f>
        <v>0</v>
      </c>
      <c r="Z172" s="68">
        <f>AVERAGE(E172,I172,M172,Q172,U172)</f>
        <v>0</v>
      </c>
      <c r="AA172" s="68">
        <f>AVERAGE(E172,I172,M172,Q172,U172)-C172</f>
        <v>0</v>
      </c>
      <c r="AB172" s="221"/>
      <c r="AC172" s="44"/>
    </row>
    <row r="173" spans="1:28" s="38" customFormat="1" ht="40.5" customHeight="1">
      <c r="A173" s="217" t="s">
        <v>74</v>
      </c>
      <c r="B173" s="218"/>
      <c r="C173" s="158">
        <f>SUM(C174:C176)</f>
        <v>132</v>
      </c>
      <c r="D173" s="62"/>
      <c r="E173" s="45">
        <f>SUM(E174:E176)</f>
        <v>516</v>
      </c>
      <c r="F173" s="45">
        <f>E161</f>
        <v>566</v>
      </c>
      <c r="G173" s="42" t="str">
        <f>A161</f>
        <v>Näpi Saeveski 2</v>
      </c>
      <c r="H173" s="100"/>
      <c r="I173" s="45">
        <f>SUM(I174:I176)</f>
        <v>510</v>
      </c>
      <c r="J173" s="45">
        <f>I157</f>
        <v>505</v>
      </c>
      <c r="K173" s="42" t="str">
        <f>A157</f>
        <v>AKAT 2</v>
      </c>
      <c r="L173" s="103"/>
      <c r="M173" s="69">
        <f>SUM(M174:M176)</f>
        <v>607</v>
      </c>
      <c r="N173" s="45">
        <f>M177</f>
        <v>498</v>
      </c>
      <c r="O173" s="42" t="str">
        <f>A177</f>
        <v>Uus Maa</v>
      </c>
      <c r="P173" s="103"/>
      <c r="Q173" s="69">
        <f>SUM(Q174:Q176)</f>
        <v>540</v>
      </c>
      <c r="R173" s="45">
        <f>Q169</f>
        <v>0</v>
      </c>
      <c r="S173" s="42" t="str">
        <f>A169</f>
        <v>Wiru Ehitus</v>
      </c>
      <c r="T173" s="103"/>
      <c r="U173" s="69">
        <f>SUM(U174:U176)</f>
        <v>487</v>
      </c>
      <c r="V173" s="45">
        <f>U165</f>
        <v>514</v>
      </c>
      <c r="W173" s="42" t="str">
        <f>A165</f>
        <v>LAJOS 1</v>
      </c>
      <c r="X173" s="36">
        <f t="shared" si="5"/>
        <v>2660</v>
      </c>
      <c r="Y173" s="105">
        <f>X173-5*C173</f>
        <v>2000</v>
      </c>
      <c r="Z173" s="37">
        <f>AVERAGE(Z174,Z175,Z176)</f>
        <v>177.33333333333334</v>
      </c>
      <c r="AA173" s="37">
        <f>AVERAGE(AA174,AA175,AA176)</f>
        <v>133.33333333333334</v>
      </c>
      <c r="AB173" s="219">
        <f>F174+J174+N174+R174+V174</f>
        <v>3</v>
      </c>
    </row>
    <row r="174" spans="1:28" s="38" customFormat="1" ht="15.75" customHeight="1">
      <c r="A174" s="222" t="s">
        <v>82</v>
      </c>
      <c r="B174" s="223"/>
      <c r="C174" s="159">
        <v>60</v>
      </c>
      <c r="D174" s="59">
        <v>117</v>
      </c>
      <c r="E174" s="50">
        <f>C174+D174</f>
        <v>177</v>
      </c>
      <c r="F174" s="224">
        <v>0</v>
      </c>
      <c r="G174" s="225"/>
      <c r="H174" s="97">
        <v>97</v>
      </c>
      <c r="I174" s="46">
        <f>C174+H174</f>
        <v>157</v>
      </c>
      <c r="J174" s="224">
        <v>1</v>
      </c>
      <c r="K174" s="225"/>
      <c r="L174" s="97">
        <v>126</v>
      </c>
      <c r="M174" s="50">
        <f>L174+C174</f>
        <v>186</v>
      </c>
      <c r="N174" s="224">
        <v>1</v>
      </c>
      <c r="O174" s="225"/>
      <c r="P174" s="97">
        <v>121</v>
      </c>
      <c r="Q174" s="50">
        <f>P174+C174</f>
        <v>181</v>
      </c>
      <c r="R174" s="224">
        <v>1</v>
      </c>
      <c r="S174" s="225"/>
      <c r="T174" s="97">
        <v>96</v>
      </c>
      <c r="U174" s="50">
        <f>T174+C174</f>
        <v>156</v>
      </c>
      <c r="V174" s="224">
        <v>0</v>
      </c>
      <c r="W174" s="225"/>
      <c r="X174" s="46">
        <f t="shared" si="5"/>
        <v>857</v>
      </c>
      <c r="Y174" s="106">
        <f>D174+H174+L174+P174+T174</f>
        <v>557</v>
      </c>
      <c r="Z174" s="67">
        <f>AVERAGE(E174,I174,M174,Q174,U174)</f>
        <v>171.4</v>
      </c>
      <c r="AA174" s="67">
        <f>AVERAGE(E174,I174,M174,Q174,U174)-C174</f>
        <v>111.4</v>
      </c>
      <c r="AB174" s="220"/>
    </row>
    <row r="175" spans="1:28" s="38" customFormat="1" ht="15.75" customHeight="1">
      <c r="A175" s="222" t="s">
        <v>81</v>
      </c>
      <c r="B175" s="223"/>
      <c r="C175" s="159">
        <v>22</v>
      </c>
      <c r="D175" s="59">
        <v>142</v>
      </c>
      <c r="E175" s="50">
        <f>C175+D175</f>
        <v>164</v>
      </c>
      <c r="F175" s="226"/>
      <c r="G175" s="227"/>
      <c r="H175" s="98">
        <v>148</v>
      </c>
      <c r="I175" s="46">
        <f>C175+H175</f>
        <v>170</v>
      </c>
      <c r="J175" s="226"/>
      <c r="K175" s="227"/>
      <c r="L175" s="98">
        <v>161</v>
      </c>
      <c r="M175" s="50">
        <f>L175+C175</f>
        <v>183</v>
      </c>
      <c r="N175" s="226"/>
      <c r="O175" s="227"/>
      <c r="P175" s="98">
        <v>133</v>
      </c>
      <c r="Q175" s="50">
        <f>P175+C175</f>
        <v>155</v>
      </c>
      <c r="R175" s="226"/>
      <c r="S175" s="227"/>
      <c r="T175" s="98">
        <v>141</v>
      </c>
      <c r="U175" s="50">
        <f>T175+C175</f>
        <v>163</v>
      </c>
      <c r="V175" s="226"/>
      <c r="W175" s="227"/>
      <c r="X175" s="46">
        <f t="shared" si="5"/>
        <v>835</v>
      </c>
      <c r="Y175" s="106">
        <f>D175+H175+L175+P175+T175</f>
        <v>725</v>
      </c>
      <c r="Z175" s="67">
        <f>AVERAGE(E175,I175,M175,Q175,U175)</f>
        <v>167</v>
      </c>
      <c r="AA175" s="67">
        <f>AVERAGE(E175,I175,M175,Q175,U175)-C175</f>
        <v>145</v>
      </c>
      <c r="AB175" s="220"/>
    </row>
    <row r="176" spans="1:28" s="38" customFormat="1" ht="15.75" customHeight="1" thickBot="1">
      <c r="A176" s="229" t="s">
        <v>83</v>
      </c>
      <c r="B176" s="230"/>
      <c r="C176" s="160">
        <v>50</v>
      </c>
      <c r="D176" s="60">
        <v>125</v>
      </c>
      <c r="E176" s="50">
        <f>C176+D176</f>
        <v>175</v>
      </c>
      <c r="F176" s="204"/>
      <c r="G176" s="228"/>
      <c r="H176" s="99">
        <v>133</v>
      </c>
      <c r="I176" s="46">
        <f>C176+H176</f>
        <v>183</v>
      </c>
      <c r="J176" s="204"/>
      <c r="K176" s="228"/>
      <c r="L176" s="99">
        <v>188</v>
      </c>
      <c r="M176" s="50">
        <f>L176+C176</f>
        <v>238</v>
      </c>
      <c r="N176" s="204"/>
      <c r="O176" s="228"/>
      <c r="P176" s="99">
        <v>154</v>
      </c>
      <c r="Q176" s="50">
        <f>P176+C176</f>
        <v>204</v>
      </c>
      <c r="R176" s="204"/>
      <c r="S176" s="228"/>
      <c r="T176" s="99">
        <v>118</v>
      </c>
      <c r="U176" s="50">
        <f>T176+C176</f>
        <v>168</v>
      </c>
      <c r="V176" s="204"/>
      <c r="W176" s="228"/>
      <c r="X176" s="47">
        <f t="shared" si="5"/>
        <v>968</v>
      </c>
      <c r="Y176" s="107">
        <f>D176+H176+L176+P176+T176</f>
        <v>718</v>
      </c>
      <c r="Z176" s="68">
        <f>AVERAGE(E176,I176,M176,Q176,U176)</f>
        <v>193.6</v>
      </c>
      <c r="AA176" s="68">
        <f>AVERAGE(E176,I176,M176,Q176,U176)-C176</f>
        <v>143.6</v>
      </c>
      <c r="AB176" s="221"/>
    </row>
    <row r="177" spans="1:28" s="38" customFormat="1" ht="42" customHeight="1">
      <c r="A177" s="217" t="s">
        <v>130</v>
      </c>
      <c r="B177" s="218"/>
      <c r="C177" s="158">
        <f>SUM(C178:C180)</f>
        <v>138</v>
      </c>
      <c r="D177" s="62"/>
      <c r="E177" s="45">
        <f>SUM(E178:E180)</f>
        <v>494</v>
      </c>
      <c r="F177" s="45">
        <f>E157</f>
        <v>528</v>
      </c>
      <c r="G177" s="42" t="str">
        <f>A157</f>
        <v>AKAT 2</v>
      </c>
      <c r="H177" s="100"/>
      <c r="I177" s="45">
        <f>SUM(I178:I180)</f>
        <v>511</v>
      </c>
      <c r="J177" s="45">
        <f>I165</f>
        <v>537</v>
      </c>
      <c r="K177" s="42" t="str">
        <f>A165</f>
        <v>LAJOS 1</v>
      </c>
      <c r="L177" s="102"/>
      <c r="M177" s="49">
        <f>SUM(M178:M180)</f>
        <v>498</v>
      </c>
      <c r="N177" s="45">
        <f>M173</f>
        <v>607</v>
      </c>
      <c r="O177" s="42" t="str">
        <f>A173</f>
        <v>Vest-Wood 3</v>
      </c>
      <c r="P177" s="102"/>
      <c r="Q177" s="49">
        <f>SUM(Q178:Q180)</f>
        <v>494</v>
      </c>
      <c r="R177" s="45">
        <f>Q161</f>
        <v>511</v>
      </c>
      <c r="S177" s="42" t="str">
        <f>A161</f>
        <v>Näpi Saeveski 2</v>
      </c>
      <c r="T177" s="102"/>
      <c r="U177" s="49">
        <f>SUM(U178:U180)</f>
        <v>515</v>
      </c>
      <c r="V177" s="45">
        <f>U169</f>
        <v>0</v>
      </c>
      <c r="W177" s="42" t="str">
        <f>A169</f>
        <v>Wiru Ehitus</v>
      </c>
      <c r="X177" s="36">
        <f t="shared" si="5"/>
        <v>2512</v>
      </c>
      <c r="Y177" s="105">
        <f>X177-5*C177</f>
        <v>1822</v>
      </c>
      <c r="Z177" s="37">
        <f>AVERAGE(Z178,Z179,Z180)</f>
        <v>167.46666666666667</v>
      </c>
      <c r="AA177" s="37">
        <f>AVERAGE(AA178,AA179,AA180)</f>
        <v>121.46666666666665</v>
      </c>
      <c r="AB177" s="219">
        <f>F178+J178+N178+R178+V178</f>
        <v>1</v>
      </c>
    </row>
    <row r="178" spans="1:28" s="38" customFormat="1" ht="15.75" customHeight="1">
      <c r="A178" s="222" t="s">
        <v>122</v>
      </c>
      <c r="B178" s="223"/>
      <c r="C178" s="159">
        <v>48</v>
      </c>
      <c r="D178" s="59">
        <v>119</v>
      </c>
      <c r="E178" s="50">
        <f>C178+D178</f>
        <v>167</v>
      </c>
      <c r="F178" s="224">
        <v>0</v>
      </c>
      <c r="G178" s="225"/>
      <c r="H178" s="97">
        <v>109</v>
      </c>
      <c r="I178" s="46">
        <f>C178+H178</f>
        <v>157</v>
      </c>
      <c r="J178" s="224">
        <v>0</v>
      </c>
      <c r="K178" s="225"/>
      <c r="L178" s="97">
        <v>125</v>
      </c>
      <c r="M178" s="50">
        <f>L178+C178</f>
        <v>173</v>
      </c>
      <c r="N178" s="224">
        <v>0</v>
      </c>
      <c r="O178" s="225"/>
      <c r="P178" s="97">
        <v>141</v>
      </c>
      <c r="Q178" s="50">
        <f>P178+C178</f>
        <v>189</v>
      </c>
      <c r="R178" s="224">
        <v>0</v>
      </c>
      <c r="S178" s="225"/>
      <c r="T178" s="97">
        <v>129</v>
      </c>
      <c r="U178" s="50">
        <f>T178+C178</f>
        <v>177</v>
      </c>
      <c r="V178" s="224">
        <v>1</v>
      </c>
      <c r="W178" s="225"/>
      <c r="X178" s="46">
        <f t="shared" si="5"/>
        <v>863</v>
      </c>
      <c r="Y178" s="106">
        <f>D178+H178+L178+P178+T178</f>
        <v>623</v>
      </c>
      <c r="Z178" s="67">
        <f>AVERAGE(E178,I178,M178,Q178,U178)</f>
        <v>172.6</v>
      </c>
      <c r="AA178" s="67">
        <f>AVERAGE(E178,I178,M178,Q178,U178)-C178</f>
        <v>124.6</v>
      </c>
      <c r="AB178" s="220"/>
    </row>
    <row r="179" spans="1:28" s="38" customFormat="1" ht="15.75" customHeight="1">
      <c r="A179" s="222" t="s">
        <v>269</v>
      </c>
      <c r="B179" s="223"/>
      <c r="C179" s="159">
        <v>60</v>
      </c>
      <c r="D179" s="59">
        <v>66</v>
      </c>
      <c r="E179" s="50">
        <f>C179+D179</f>
        <v>126</v>
      </c>
      <c r="F179" s="226"/>
      <c r="G179" s="227"/>
      <c r="H179" s="98">
        <v>112</v>
      </c>
      <c r="I179" s="46">
        <f>C179+H179</f>
        <v>172</v>
      </c>
      <c r="J179" s="226"/>
      <c r="K179" s="227"/>
      <c r="L179" s="98">
        <v>74</v>
      </c>
      <c r="M179" s="50">
        <f>L179+C179</f>
        <v>134</v>
      </c>
      <c r="N179" s="226"/>
      <c r="O179" s="227"/>
      <c r="P179" s="98">
        <v>99</v>
      </c>
      <c r="Q179" s="50">
        <f>P179+C179</f>
        <v>159</v>
      </c>
      <c r="R179" s="226"/>
      <c r="S179" s="227"/>
      <c r="T179" s="98">
        <v>116</v>
      </c>
      <c r="U179" s="50">
        <f>T179+C179</f>
        <v>176</v>
      </c>
      <c r="V179" s="226"/>
      <c r="W179" s="227"/>
      <c r="X179" s="46">
        <f t="shared" si="5"/>
        <v>767</v>
      </c>
      <c r="Y179" s="106">
        <f>D179+H179+L179+P179+T179</f>
        <v>467</v>
      </c>
      <c r="Z179" s="67">
        <f>AVERAGE(E179,I179,M179,Q179,U179)</f>
        <v>153.4</v>
      </c>
      <c r="AA179" s="67">
        <f>AVERAGE(E179,I179,M179,Q179,U179)-C179</f>
        <v>93.4</v>
      </c>
      <c r="AB179" s="220"/>
    </row>
    <row r="180" spans="1:28" s="38" customFormat="1" ht="15.75" customHeight="1" thickBot="1">
      <c r="A180" s="229" t="s">
        <v>129</v>
      </c>
      <c r="B180" s="230"/>
      <c r="C180" s="160">
        <v>30</v>
      </c>
      <c r="D180" s="60">
        <v>171</v>
      </c>
      <c r="E180" s="50">
        <f>C180+D180</f>
        <v>201</v>
      </c>
      <c r="F180" s="204"/>
      <c r="G180" s="228"/>
      <c r="H180" s="99">
        <v>152</v>
      </c>
      <c r="I180" s="46">
        <f>C180+H180</f>
        <v>182</v>
      </c>
      <c r="J180" s="204"/>
      <c r="K180" s="228"/>
      <c r="L180" s="99">
        <v>161</v>
      </c>
      <c r="M180" s="50">
        <f>L180+C180</f>
        <v>191</v>
      </c>
      <c r="N180" s="204"/>
      <c r="O180" s="228"/>
      <c r="P180" s="99">
        <v>116</v>
      </c>
      <c r="Q180" s="50">
        <f>P180+C180</f>
        <v>146</v>
      </c>
      <c r="R180" s="204"/>
      <c r="S180" s="228"/>
      <c r="T180" s="99">
        <v>132</v>
      </c>
      <c r="U180" s="50">
        <f>T180+C180</f>
        <v>162</v>
      </c>
      <c r="V180" s="204"/>
      <c r="W180" s="228"/>
      <c r="X180" s="47">
        <f t="shared" si="5"/>
        <v>882</v>
      </c>
      <c r="Y180" s="107">
        <f>D180+H180+L180+P180+T180</f>
        <v>732</v>
      </c>
      <c r="Z180" s="68">
        <f>AVERAGE(E180,I180,M180,Q180,U180)</f>
        <v>176.4</v>
      </c>
      <c r="AA180" s="68">
        <f>AVERAGE(E180,I180,M180,Q180,U180)-C180</f>
        <v>146.4</v>
      </c>
      <c r="AB180" s="221"/>
    </row>
    <row r="181" spans="1:28" s="40" customFormat="1" ht="42" customHeight="1">
      <c r="A181" s="233" t="s">
        <v>266</v>
      </c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4"/>
      <c r="W181" s="25"/>
      <c r="Y181" s="57"/>
      <c r="Z181" s="41"/>
      <c r="AA181" s="121"/>
      <c r="AB181" s="25"/>
    </row>
    <row r="182" spans="1:28" s="40" customFormat="1" ht="4.5" customHeight="1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4"/>
      <c r="W182" s="25"/>
      <c r="Y182" s="57"/>
      <c r="Z182" s="41"/>
      <c r="AA182" s="121"/>
      <c r="AB182" s="25"/>
    </row>
    <row r="183" spans="1:28" s="40" customFormat="1" ht="23.2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4"/>
      <c r="W183" s="25"/>
      <c r="Y183" s="57"/>
      <c r="Z183" s="41"/>
      <c r="AA183" s="121"/>
      <c r="AB183" s="25"/>
    </row>
    <row r="184" spans="1:28" s="40" customFormat="1" ht="16.5">
      <c r="A184" s="26"/>
      <c r="B184" s="26"/>
      <c r="C184" s="162"/>
      <c r="D184" s="54"/>
      <c r="E184" s="25"/>
      <c r="F184" s="25"/>
      <c r="G184" s="25"/>
      <c r="H184" s="57"/>
      <c r="I184" s="25"/>
      <c r="J184" s="25"/>
      <c r="K184" s="25"/>
      <c r="L184" s="57"/>
      <c r="M184" s="25"/>
      <c r="N184" s="25"/>
      <c r="O184" s="25"/>
      <c r="P184" s="57"/>
      <c r="Q184" s="25"/>
      <c r="R184" s="25"/>
      <c r="S184" s="25"/>
      <c r="T184" s="57"/>
      <c r="U184" s="25"/>
      <c r="V184" s="25"/>
      <c r="W184" s="25"/>
      <c r="Y184" s="57"/>
      <c r="Z184" s="41"/>
      <c r="AA184" s="121"/>
      <c r="AB184" s="25"/>
    </row>
    <row r="185" spans="1:28" s="31" customFormat="1" ht="15.75" customHeight="1">
      <c r="A185" s="209" t="s">
        <v>0</v>
      </c>
      <c r="B185" s="210"/>
      <c r="C185" s="156" t="s">
        <v>39</v>
      </c>
      <c r="D185" s="55"/>
      <c r="E185" s="27" t="s">
        <v>1</v>
      </c>
      <c r="F185" s="211" t="s">
        <v>2</v>
      </c>
      <c r="G185" s="212"/>
      <c r="H185" s="94"/>
      <c r="I185" s="27" t="s">
        <v>3</v>
      </c>
      <c r="J185" s="211" t="s">
        <v>2</v>
      </c>
      <c r="K185" s="212"/>
      <c r="L185" s="94"/>
      <c r="M185" s="27" t="s">
        <v>4</v>
      </c>
      <c r="N185" s="211" t="s">
        <v>2</v>
      </c>
      <c r="O185" s="212"/>
      <c r="P185" s="94"/>
      <c r="Q185" s="27" t="s">
        <v>5</v>
      </c>
      <c r="R185" s="211" t="s">
        <v>2</v>
      </c>
      <c r="S185" s="212"/>
      <c r="T185" s="94"/>
      <c r="U185" s="27" t="s">
        <v>6</v>
      </c>
      <c r="V185" s="211" t="s">
        <v>2</v>
      </c>
      <c r="W185" s="212"/>
      <c r="X185" s="28" t="s">
        <v>7</v>
      </c>
      <c r="Y185" s="104"/>
      <c r="Z185" s="29" t="s">
        <v>40</v>
      </c>
      <c r="AA185" s="52" t="s">
        <v>42</v>
      </c>
      <c r="AB185" s="30" t="s">
        <v>7</v>
      </c>
    </row>
    <row r="186" spans="1:28" s="31" customFormat="1" ht="15.75" customHeight="1" thickBot="1">
      <c r="A186" s="213" t="s">
        <v>9</v>
      </c>
      <c r="B186" s="214"/>
      <c r="C186" s="157"/>
      <c r="D186" s="56"/>
      <c r="E186" s="32" t="s">
        <v>10</v>
      </c>
      <c r="F186" s="211" t="s">
        <v>11</v>
      </c>
      <c r="G186" s="212"/>
      <c r="H186" s="95"/>
      <c r="I186" s="32" t="s">
        <v>10</v>
      </c>
      <c r="J186" s="215" t="s">
        <v>11</v>
      </c>
      <c r="K186" s="216"/>
      <c r="L186" s="95"/>
      <c r="M186" s="32" t="s">
        <v>10</v>
      </c>
      <c r="N186" s="215" t="s">
        <v>11</v>
      </c>
      <c r="O186" s="216"/>
      <c r="P186" s="95"/>
      <c r="Q186" s="32" t="s">
        <v>10</v>
      </c>
      <c r="R186" s="215" t="s">
        <v>11</v>
      </c>
      <c r="S186" s="216"/>
      <c r="T186" s="95"/>
      <c r="U186" s="32" t="s">
        <v>10</v>
      </c>
      <c r="V186" s="215" t="s">
        <v>11</v>
      </c>
      <c r="W186" s="216"/>
      <c r="X186" s="33" t="s">
        <v>10</v>
      </c>
      <c r="Y186" s="84"/>
      <c r="Z186" s="34" t="s">
        <v>41</v>
      </c>
      <c r="AA186" s="53" t="s">
        <v>43</v>
      </c>
      <c r="AB186" s="35" t="s">
        <v>12</v>
      </c>
    </row>
    <row r="187" spans="1:28" s="38" customFormat="1" ht="42" customHeight="1">
      <c r="A187" s="217" t="s">
        <v>77</v>
      </c>
      <c r="B187" s="218"/>
      <c r="C187" s="158">
        <f>SUM(C188:C190)</f>
        <v>166</v>
      </c>
      <c r="D187" s="62"/>
      <c r="E187" s="63">
        <f>SUM(E188:E190)</f>
        <v>520</v>
      </c>
      <c r="F187" s="46">
        <f>E207</f>
        <v>490</v>
      </c>
      <c r="G187" s="64" t="str">
        <f>A207</f>
        <v>Vest-Wood 2</v>
      </c>
      <c r="H187" s="96"/>
      <c r="I187" s="49">
        <f>SUM(I188:I190)</f>
        <v>611</v>
      </c>
      <c r="J187" s="49">
        <f>I203</f>
        <v>517</v>
      </c>
      <c r="K187" s="42" t="str">
        <f>A203</f>
        <v>Assar Lukuauk</v>
      </c>
      <c r="L187" s="100"/>
      <c r="M187" s="45">
        <f>SUM(M188:M190)</f>
        <v>485</v>
      </c>
      <c r="N187" s="45">
        <f>M199</f>
        <v>598</v>
      </c>
      <c r="O187" s="42" t="str">
        <f>A199</f>
        <v>AKAT 1</v>
      </c>
      <c r="P187" s="100"/>
      <c r="Q187" s="45">
        <f>SUM(Q188:Q190)</f>
        <v>586</v>
      </c>
      <c r="R187" s="45">
        <f>Q195</f>
        <v>490</v>
      </c>
      <c r="S187" s="42" t="str">
        <f>A195</f>
        <v>Nordic Tsement</v>
      </c>
      <c r="T187" s="100"/>
      <c r="U187" s="45">
        <f>SUM(U188:U190)</f>
        <v>589</v>
      </c>
      <c r="V187" s="45">
        <f>U191</f>
        <v>523</v>
      </c>
      <c r="W187" s="42" t="str">
        <f>A191</f>
        <v>Eesti Energia</v>
      </c>
      <c r="X187" s="36">
        <f aca="true" t="shared" si="6" ref="X187:X210">E187+I187+M187+Q187+U187</f>
        <v>2791</v>
      </c>
      <c r="Y187" s="105">
        <f>X187-5*C187</f>
        <v>1961</v>
      </c>
      <c r="Z187" s="37">
        <f>AVERAGE(Z188,Z189,Z190)</f>
        <v>186.0666666666667</v>
      </c>
      <c r="AA187" s="65">
        <f>AVERAGE(AA188,AA189,AA190)</f>
        <v>130.73333333333335</v>
      </c>
      <c r="AB187" s="219">
        <f>F188+J188+N188+R188+V188</f>
        <v>4</v>
      </c>
    </row>
    <row r="188" spans="1:28" s="38" customFormat="1" ht="15.75" customHeight="1">
      <c r="A188" s="222" t="s">
        <v>96</v>
      </c>
      <c r="B188" s="223"/>
      <c r="C188" s="159">
        <v>60</v>
      </c>
      <c r="D188" s="59">
        <v>118</v>
      </c>
      <c r="E188" s="50">
        <f>C188+D188</f>
        <v>178</v>
      </c>
      <c r="F188" s="224">
        <v>1</v>
      </c>
      <c r="G188" s="225"/>
      <c r="H188" s="97">
        <v>151</v>
      </c>
      <c r="I188" s="46">
        <f>H188+C188</f>
        <v>211</v>
      </c>
      <c r="J188" s="224">
        <v>1</v>
      </c>
      <c r="K188" s="225"/>
      <c r="L188" s="97">
        <v>101</v>
      </c>
      <c r="M188" s="50">
        <f>L188+C188</f>
        <v>161</v>
      </c>
      <c r="N188" s="224">
        <v>0</v>
      </c>
      <c r="O188" s="225"/>
      <c r="P188" s="97">
        <v>163</v>
      </c>
      <c r="Q188" s="50">
        <f>P188+C188</f>
        <v>223</v>
      </c>
      <c r="R188" s="224">
        <v>1</v>
      </c>
      <c r="S188" s="225"/>
      <c r="T188" s="97">
        <v>146</v>
      </c>
      <c r="U188" s="50">
        <f>T188+C188</f>
        <v>206</v>
      </c>
      <c r="V188" s="224">
        <v>1</v>
      </c>
      <c r="W188" s="225"/>
      <c r="X188" s="46">
        <f t="shared" si="6"/>
        <v>979</v>
      </c>
      <c r="Y188" s="106">
        <f>D188+H188+L188+P188+T188</f>
        <v>679</v>
      </c>
      <c r="Z188" s="67">
        <f>AVERAGE(E188,I188,M188,Q188,U188)</f>
        <v>195.8</v>
      </c>
      <c r="AA188" s="67">
        <f>AVERAGE(E188,I188,M188,Q188,U188)-C188</f>
        <v>135.8</v>
      </c>
      <c r="AB188" s="220"/>
    </row>
    <row r="189" spans="1:28" s="38" customFormat="1" ht="15.75" customHeight="1">
      <c r="A189" s="222" t="s">
        <v>95</v>
      </c>
      <c r="B189" s="223"/>
      <c r="C189" s="159">
        <v>49</v>
      </c>
      <c r="D189" s="59">
        <v>89</v>
      </c>
      <c r="E189" s="50">
        <f>C189+D189</f>
        <v>138</v>
      </c>
      <c r="F189" s="226"/>
      <c r="G189" s="227"/>
      <c r="H189" s="98">
        <v>148</v>
      </c>
      <c r="I189" s="46">
        <f>H189+C189</f>
        <v>197</v>
      </c>
      <c r="J189" s="226"/>
      <c r="K189" s="227"/>
      <c r="L189" s="98">
        <v>124</v>
      </c>
      <c r="M189" s="50">
        <f>L189+C189</f>
        <v>173</v>
      </c>
      <c r="N189" s="226"/>
      <c r="O189" s="227"/>
      <c r="P189" s="98">
        <v>126</v>
      </c>
      <c r="Q189" s="50">
        <f>P189+C189</f>
        <v>175</v>
      </c>
      <c r="R189" s="226"/>
      <c r="S189" s="227"/>
      <c r="T189" s="98">
        <v>153</v>
      </c>
      <c r="U189" s="50">
        <f>T189+C189</f>
        <v>202</v>
      </c>
      <c r="V189" s="226"/>
      <c r="W189" s="227"/>
      <c r="X189" s="46">
        <f t="shared" si="6"/>
        <v>885</v>
      </c>
      <c r="Y189" s="106">
        <f>D189+H189+L189+P189+T189</f>
        <v>640</v>
      </c>
      <c r="Z189" s="67">
        <f>AVERAGE(E189,I189,M189,Q189,U189)</f>
        <v>177</v>
      </c>
      <c r="AA189" s="67">
        <f>AVERAGE(E189,I189,M189,Q189,U189)-C189</f>
        <v>128</v>
      </c>
      <c r="AB189" s="220"/>
    </row>
    <row r="190" spans="1:28" s="38" customFormat="1" ht="16.5" customHeight="1" thickBot="1">
      <c r="A190" s="229" t="s">
        <v>97</v>
      </c>
      <c r="B190" s="230"/>
      <c r="C190" s="160">
        <v>57</v>
      </c>
      <c r="D190" s="60">
        <v>147</v>
      </c>
      <c r="E190" s="47">
        <f>C190+D190</f>
        <v>204</v>
      </c>
      <c r="F190" s="204"/>
      <c r="G190" s="228"/>
      <c r="H190" s="99">
        <v>146</v>
      </c>
      <c r="I190" s="47">
        <f>H190+C190</f>
        <v>203</v>
      </c>
      <c r="J190" s="204"/>
      <c r="K190" s="228"/>
      <c r="L190" s="99">
        <v>94</v>
      </c>
      <c r="M190" s="50">
        <f>L190+C190</f>
        <v>151</v>
      </c>
      <c r="N190" s="204"/>
      <c r="O190" s="228"/>
      <c r="P190" s="99">
        <v>131</v>
      </c>
      <c r="Q190" s="50">
        <f>P190+C190</f>
        <v>188</v>
      </c>
      <c r="R190" s="204"/>
      <c r="S190" s="228"/>
      <c r="T190" s="99">
        <v>124</v>
      </c>
      <c r="U190" s="50">
        <f>T190+C190</f>
        <v>181</v>
      </c>
      <c r="V190" s="204"/>
      <c r="W190" s="228"/>
      <c r="X190" s="47">
        <f t="shared" si="6"/>
        <v>927</v>
      </c>
      <c r="Y190" s="107">
        <f>D190+H190+L190+P190+T190</f>
        <v>642</v>
      </c>
      <c r="Z190" s="68">
        <f>AVERAGE(E190,I190,M190,Q190,U190)</f>
        <v>185.4</v>
      </c>
      <c r="AA190" s="68">
        <f>AVERAGE(E190,I190,M190,Q190,U190)-C190</f>
        <v>128.4</v>
      </c>
      <c r="AB190" s="221"/>
    </row>
    <row r="191" spans="1:28" s="38" customFormat="1" ht="41.25" customHeight="1">
      <c r="A191" s="217" t="s">
        <v>164</v>
      </c>
      <c r="B191" s="218"/>
      <c r="C191" s="158">
        <f>SUM(C192:C194)</f>
        <v>158</v>
      </c>
      <c r="D191" s="62"/>
      <c r="E191" s="45">
        <f>SUM(E192:E194)</f>
        <v>569</v>
      </c>
      <c r="F191" s="45">
        <f>E203</f>
        <v>660</v>
      </c>
      <c r="G191" s="42" t="str">
        <f>A203</f>
        <v>Assar Lukuauk</v>
      </c>
      <c r="H191" s="100"/>
      <c r="I191" s="45">
        <f>SUM(I192:I194)</f>
        <v>515</v>
      </c>
      <c r="J191" s="46">
        <f>I199</f>
        <v>512</v>
      </c>
      <c r="K191" s="42" t="str">
        <f>A199</f>
        <v>AKAT 1</v>
      </c>
      <c r="L191" s="102"/>
      <c r="M191" s="49">
        <f>SUM(M192:M194)</f>
        <v>506</v>
      </c>
      <c r="N191" s="45">
        <f>M195</f>
        <v>503</v>
      </c>
      <c r="O191" s="42" t="str">
        <f>A195</f>
        <v>Nordic Tsement</v>
      </c>
      <c r="P191" s="102"/>
      <c r="Q191" s="49">
        <f>SUM(Q192:Q194)</f>
        <v>566</v>
      </c>
      <c r="R191" s="45">
        <f>Q207</f>
        <v>574</v>
      </c>
      <c r="S191" s="42" t="str">
        <f>A207</f>
        <v>Vest-Wood 2</v>
      </c>
      <c r="T191" s="102"/>
      <c r="U191" s="49">
        <f>SUM(U192:U194)</f>
        <v>523</v>
      </c>
      <c r="V191" s="45">
        <f>U187</f>
        <v>589</v>
      </c>
      <c r="W191" s="42" t="str">
        <f>A187</f>
        <v>PLANRAY</v>
      </c>
      <c r="X191" s="36">
        <f t="shared" si="6"/>
        <v>2679</v>
      </c>
      <c r="Y191" s="105">
        <f>X191-5*C191</f>
        <v>1889</v>
      </c>
      <c r="Z191" s="37">
        <f>AVERAGE(Z192,Z193,Z194)</f>
        <v>178.6</v>
      </c>
      <c r="AA191" s="37">
        <f>AVERAGE(AA192,AA193,AA194)</f>
        <v>125.93333333333334</v>
      </c>
      <c r="AB191" s="220">
        <f>F192+J192+N192+R192+V192</f>
        <v>2</v>
      </c>
    </row>
    <row r="192" spans="1:28" s="38" customFormat="1" ht="15.75" customHeight="1">
      <c r="A192" s="222" t="s">
        <v>150</v>
      </c>
      <c r="B192" s="223"/>
      <c r="C192" s="159">
        <v>60</v>
      </c>
      <c r="D192" s="59">
        <v>83</v>
      </c>
      <c r="E192" s="50">
        <f>C192+D192</f>
        <v>143</v>
      </c>
      <c r="F192" s="224">
        <v>0</v>
      </c>
      <c r="G192" s="225"/>
      <c r="H192" s="97">
        <v>81</v>
      </c>
      <c r="I192" s="46">
        <f>H192+C192</f>
        <v>141</v>
      </c>
      <c r="J192" s="224">
        <v>1</v>
      </c>
      <c r="K192" s="225"/>
      <c r="L192" s="97">
        <v>78</v>
      </c>
      <c r="M192" s="50">
        <f>L192+C192</f>
        <v>138</v>
      </c>
      <c r="N192" s="224">
        <v>1</v>
      </c>
      <c r="O192" s="225"/>
      <c r="P192" s="97">
        <v>134</v>
      </c>
      <c r="Q192" s="50">
        <f>P192+C192</f>
        <v>194</v>
      </c>
      <c r="R192" s="224">
        <v>0</v>
      </c>
      <c r="S192" s="225"/>
      <c r="T192" s="97">
        <v>71</v>
      </c>
      <c r="U192" s="50">
        <f>T192+C192</f>
        <v>131</v>
      </c>
      <c r="V192" s="224">
        <v>0</v>
      </c>
      <c r="W192" s="225"/>
      <c r="X192" s="46">
        <f t="shared" si="6"/>
        <v>747</v>
      </c>
      <c r="Y192" s="106">
        <f>D192+H192+L192+P192+T192</f>
        <v>447</v>
      </c>
      <c r="Z192" s="67">
        <f>AVERAGE(E192,I192,M192,Q192,U192)</f>
        <v>149.4</v>
      </c>
      <c r="AA192" s="67">
        <f>AVERAGE(E192,I192,M192,Q192,U192)-C192</f>
        <v>89.4</v>
      </c>
      <c r="AB192" s="220"/>
    </row>
    <row r="193" spans="1:28" s="38" customFormat="1" ht="15.75" customHeight="1">
      <c r="A193" s="222" t="s">
        <v>261</v>
      </c>
      <c r="B193" s="223"/>
      <c r="C193" s="159">
        <v>60</v>
      </c>
      <c r="D193" s="59">
        <v>194</v>
      </c>
      <c r="E193" s="50">
        <f>C193+D193</f>
        <v>254</v>
      </c>
      <c r="F193" s="226"/>
      <c r="G193" s="227"/>
      <c r="H193" s="98">
        <v>116</v>
      </c>
      <c r="I193" s="46">
        <f>H193+C193</f>
        <v>176</v>
      </c>
      <c r="J193" s="226"/>
      <c r="K193" s="227"/>
      <c r="L193" s="98">
        <v>117</v>
      </c>
      <c r="M193" s="50">
        <f>L193+C193</f>
        <v>177</v>
      </c>
      <c r="N193" s="226"/>
      <c r="O193" s="227"/>
      <c r="P193" s="98">
        <v>134</v>
      </c>
      <c r="Q193" s="50">
        <f>P193+C193</f>
        <v>194</v>
      </c>
      <c r="R193" s="226"/>
      <c r="S193" s="227"/>
      <c r="T193" s="98">
        <v>122</v>
      </c>
      <c r="U193" s="50">
        <f>T193+C193</f>
        <v>182</v>
      </c>
      <c r="V193" s="226"/>
      <c r="W193" s="227"/>
      <c r="X193" s="46">
        <f t="shared" si="6"/>
        <v>983</v>
      </c>
      <c r="Y193" s="106">
        <f>D193+H193+L193+P193+T193</f>
        <v>683</v>
      </c>
      <c r="Z193" s="67">
        <f>AVERAGE(E193,I193,M193,Q193,U193)</f>
        <v>196.6</v>
      </c>
      <c r="AA193" s="67">
        <f>AVERAGE(E193,I193,M193,Q193,U193)-C193</f>
        <v>136.6</v>
      </c>
      <c r="AB193" s="220"/>
    </row>
    <row r="194" spans="1:28" s="38" customFormat="1" ht="15.75" customHeight="1" thickBot="1">
      <c r="A194" s="229" t="s">
        <v>151</v>
      </c>
      <c r="B194" s="230"/>
      <c r="C194" s="160">
        <v>38</v>
      </c>
      <c r="D194" s="60">
        <v>134</v>
      </c>
      <c r="E194" s="47">
        <f>C194+D194</f>
        <v>172</v>
      </c>
      <c r="F194" s="204"/>
      <c r="G194" s="228"/>
      <c r="H194" s="99">
        <v>160</v>
      </c>
      <c r="I194" s="46">
        <f>H194+C194</f>
        <v>198</v>
      </c>
      <c r="J194" s="204"/>
      <c r="K194" s="228"/>
      <c r="L194" s="99">
        <v>153</v>
      </c>
      <c r="M194" s="50">
        <f>L194+C194</f>
        <v>191</v>
      </c>
      <c r="N194" s="204"/>
      <c r="O194" s="228"/>
      <c r="P194" s="99">
        <v>140</v>
      </c>
      <c r="Q194" s="50">
        <f>P194+C194</f>
        <v>178</v>
      </c>
      <c r="R194" s="204"/>
      <c r="S194" s="228"/>
      <c r="T194" s="99">
        <v>172</v>
      </c>
      <c r="U194" s="50">
        <f>T194+C194</f>
        <v>210</v>
      </c>
      <c r="V194" s="204"/>
      <c r="W194" s="228"/>
      <c r="X194" s="47">
        <f t="shared" si="6"/>
        <v>949</v>
      </c>
      <c r="Y194" s="107">
        <f>D194+H194+L194+P194+T194</f>
        <v>759</v>
      </c>
      <c r="Z194" s="68">
        <f>AVERAGE(E194,I194,M194,Q194,U194)</f>
        <v>189.8</v>
      </c>
      <c r="AA194" s="68">
        <f>AVERAGE(E194,I194,M194,Q194,U194)-C194</f>
        <v>151.8</v>
      </c>
      <c r="AB194" s="221"/>
    </row>
    <row r="195" spans="1:28" s="38" customFormat="1" ht="47.25" customHeight="1">
      <c r="A195" s="217" t="s">
        <v>109</v>
      </c>
      <c r="B195" s="218"/>
      <c r="C195" s="158">
        <f>SUM(C196:C198)</f>
        <v>180</v>
      </c>
      <c r="D195" s="62"/>
      <c r="E195" s="45">
        <f>SUM(E196:E198)</f>
        <v>528</v>
      </c>
      <c r="F195" s="45">
        <f>E199</f>
        <v>550</v>
      </c>
      <c r="G195" s="42" t="str">
        <f>A199</f>
        <v>AKAT 1</v>
      </c>
      <c r="H195" s="100"/>
      <c r="I195" s="45">
        <f>SUM(I196:I198)</f>
        <v>446</v>
      </c>
      <c r="J195" s="45">
        <f>I207</f>
        <v>534</v>
      </c>
      <c r="K195" s="42" t="str">
        <f>A207</f>
        <v>Vest-Wood 2</v>
      </c>
      <c r="L195" s="103"/>
      <c r="M195" s="69">
        <f>SUM(M196:M198)</f>
        <v>503</v>
      </c>
      <c r="N195" s="45">
        <f>M191</f>
        <v>506</v>
      </c>
      <c r="O195" s="42" t="str">
        <f>A191</f>
        <v>Eesti Energia</v>
      </c>
      <c r="P195" s="103"/>
      <c r="Q195" s="69">
        <f>SUM(Q196:Q198)</f>
        <v>490</v>
      </c>
      <c r="R195" s="45">
        <f>Q187</f>
        <v>586</v>
      </c>
      <c r="S195" s="42" t="str">
        <f>A187</f>
        <v>PLANRAY</v>
      </c>
      <c r="T195" s="103"/>
      <c r="U195" s="69">
        <f>SUM(U196:U198)</f>
        <v>459</v>
      </c>
      <c r="V195" s="45">
        <f>U203</f>
        <v>643</v>
      </c>
      <c r="W195" s="42" t="str">
        <f>A203</f>
        <v>Assar Lukuauk</v>
      </c>
      <c r="X195" s="36">
        <f t="shared" si="6"/>
        <v>2426</v>
      </c>
      <c r="Y195" s="105">
        <f>X195-5*C195</f>
        <v>1526</v>
      </c>
      <c r="Z195" s="37">
        <f>AVERAGE(Z196,Z197,Z198)</f>
        <v>161.73333333333332</v>
      </c>
      <c r="AA195" s="37">
        <f>AVERAGE(AA196,AA197,AA198)</f>
        <v>101.73333333333333</v>
      </c>
      <c r="AB195" s="219">
        <f>F196+J196+N196+R196+V196</f>
        <v>0</v>
      </c>
    </row>
    <row r="196" spans="1:28" s="38" customFormat="1" ht="15.75" customHeight="1">
      <c r="A196" s="222" t="s">
        <v>264</v>
      </c>
      <c r="B196" s="223"/>
      <c r="C196" s="159">
        <v>60</v>
      </c>
      <c r="D196" s="59">
        <v>110</v>
      </c>
      <c r="E196" s="50">
        <f>C196+D196</f>
        <v>170</v>
      </c>
      <c r="F196" s="224">
        <v>0</v>
      </c>
      <c r="G196" s="225"/>
      <c r="H196" s="97">
        <v>75</v>
      </c>
      <c r="I196" s="46">
        <f>H196+C196</f>
        <v>135</v>
      </c>
      <c r="J196" s="224">
        <v>0</v>
      </c>
      <c r="K196" s="225"/>
      <c r="L196" s="97">
        <v>74</v>
      </c>
      <c r="M196" s="50">
        <f>L196+C196</f>
        <v>134</v>
      </c>
      <c r="N196" s="224">
        <v>0</v>
      </c>
      <c r="O196" s="225"/>
      <c r="P196" s="97">
        <v>82</v>
      </c>
      <c r="Q196" s="50">
        <f>P196+C196</f>
        <v>142</v>
      </c>
      <c r="R196" s="224">
        <v>0</v>
      </c>
      <c r="S196" s="225"/>
      <c r="T196" s="97">
        <v>69</v>
      </c>
      <c r="U196" s="50">
        <f>T196+C196</f>
        <v>129</v>
      </c>
      <c r="V196" s="224">
        <v>0</v>
      </c>
      <c r="W196" s="225"/>
      <c r="X196" s="46">
        <f t="shared" si="6"/>
        <v>710</v>
      </c>
      <c r="Y196" s="106">
        <f>D196+H196+L196+P196+T196</f>
        <v>410</v>
      </c>
      <c r="Z196" s="67">
        <f>AVERAGE(E196,I196,M196,Q196,U196)</f>
        <v>142</v>
      </c>
      <c r="AA196" s="67">
        <f>AVERAGE(E196,I196,M196,Q196,U196)-C196</f>
        <v>82</v>
      </c>
      <c r="AB196" s="220"/>
    </row>
    <row r="197" spans="1:28" s="38" customFormat="1" ht="15.75" customHeight="1">
      <c r="A197" s="222" t="s">
        <v>121</v>
      </c>
      <c r="B197" s="223"/>
      <c r="C197" s="159">
        <v>60</v>
      </c>
      <c r="D197" s="59">
        <v>117</v>
      </c>
      <c r="E197" s="50">
        <f>C197+D197</f>
        <v>177</v>
      </c>
      <c r="F197" s="226"/>
      <c r="G197" s="227"/>
      <c r="H197" s="98">
        <v>95</v>
      </c>
      <c r="I197" s="46">
        <f>H197+C197</f>
        <v>155</v>
      </c>
      <c r="J197" s="226"/>
      <c r="K197" s="227"/>
      <c r="L197" s="98">
        <v>118</v>
      </c>
      <c r="M197" s="50">
        <f>L197+C197</f>
        <v>178</v>
      </c>
      <c r="N197" s="226"/>
      <c r="O197" s="227"/>
      <c r="P197" s="98">
        <v>119</v>
      </c>
      <c r="Q197" s="50">
        <f>P197+C197</f>
        <v>179</v>
      </c>
      <c r="R197" s="226"/>
      <c r="S197" s="227"/>
      <c r="T197" s="98">
        <v>101</v>
      </c>
      <c r="U197" s="50">
        <f>T197+C197</f>
        <v>161</v>
      </c>
      <c r="V197" s="226"/>
      <c r="W197" s="227"/>
      <c r="X197" s="46">
        <f t="shared" si="6"/>
        <v>850</v>
      </c>
      <c r="Y197" s="106">
        <f>D197+H197+L197+P197+T197</f>
        <v>550</v>
      </c>
      <c r="Z197" s="67">
        <f>AVERAGE(E197,I197,M197,Q197,U197)</f>
        <v>170</v>
      </c>
      <c r="AA197" s="67">
        <f>AVERAGE(E197,I197,M197,Q197,U197)-C197</f>
        <v>110</v>
      </c>
      <c r="AB197" s="220"/>
    </row>
    <row r="198" spans="1:28" s="38" customFormat="1" ht="15.75" customHeight="1" thickBot="1">
      <c r="A198" s="229" t="s">
        <v>265</v>
      </c>
      <c r="B198" s="230"/>
      <c r="C198" s="160">
        <v>60</v>
      </c>
      <c r="D198" s="60">
        <v>121</v>
      </c>
      <c r="E198" s="47">
        <f>C198+D198</f>
        <v>181</v>
      </c>
      <c r="F198" s="204"/>
      <c r="G198" s="228"/>
      <c r="H198" s="99">
        <v>96</v>
      </c>
      <c r="I198" s="47">
        <f>H198+C198</f>
        <v>156</v>
      </c>
      <c r="J198" s="204"/>
      <c r="K198" s="228"/>
      <c r="L198" s="99">
        <v>131</v>
      </c>
      <c r="M198" s="50">
        <f>L198+C198</f>
        <v>191</v>
      </c>
      <c r="N198" s="204"/>
      <c r="O198" s="228"/>
      <c r="P198" s="99">
        <v>109</v>
      </c>
      <c r="Q198" s="50">
        <f>P198+C198</f>
        <v>169</v>
      </c>
      <c r="R198" s="204"/>
      <c r="S198" s="228"/>
      <c r="T198" s="99">
        <v>109</v>
      </c>
      <c r="U198" s="50">
        <f>T198+C198</f>
        <v>169</v>
      </c>
      <c r="V198" s="204"/>
      <c r="W198" s="228"/>
      <c r="X198" s="47">
        <f t="shared" si="6"/>
        <v>866</v>
      </c>
      <c r="Y198" s="107">
        <f>D198+H198+L198+P198+T198</f>
        <v>566</v>
      </c>
      <c r="Z198" s="68">
        <f>AVERAGE(E198,I198,M198,Q198,U198)</f>
        <v>173.2</v>
      </c>
      <c r="AA198" s="68">
        <f>AVERAGE(E198,I198,M198,Q198,U198)-C198</f>
        <v>113.19999999999999</v>
      </c>
      <c r="AB198" s="221"/>
    </row>
    <row r="199" spans="1:28" s="38" customFormat="1" ht="39" customHeight="1">
      <c r="A199" s="217" t="s">
        <v>233</v>
      </c>
      <c r="B199" s="218"/>
      <c r="C199" s="158">
        <f>SUM(C200:C202)</f>
        <v>101</v>
      </c>
      <c r="D199" s="92"/>
      <c r="E199" s="48">
        <f>SUM(E200:E202)</f>
        <v>550</v>
      </c>
      <c r="F199" s="48">
        <f>E195</f>
        <v>528</v>
      </c>
      <c r="G199" s="43" t="str">
        <f>A195</f>
        <v>Nordic Tsement</v>
      </c>
      <c r="H199" s="101"/>
      <c r="I199" s="48">
        <f>SUM(I200:I202)</f>
        <v>512</v>
      </c>
      <c r="J199" s="48">
        <f>I191</f>
        <v>515</v>
      </c>
      <c r="K199" s="43" t="str">
        <f>A191</f>
        <v>Eesti Energia</v>
      </c>
      <c r="L199" s="96"/>
      <c r="M199" s="49">
        <f>SUM(M200:M202)</f>
        <v>598</v>
      </c>
      <c r="N199" s="48">
        <f>M187</f>
        <v>485</v>
      </c>
      <c r="O199" s="43" t="str">
        <f>A187</f>
        <v>PLANRAY</v>
      </c>
      <c r="P199" s="96"/>
      <c r="Q199" s="49">
        <f>SUM(Q200:Q202)</f>
        <v>569</v>
      </c>
      <c r="R199" s="48">
        <f>Q203</f>
        <v>671</v>
      </c>
      <c r="S199" s="43" t="str">
        <f>A203</f>
        <v>Assar Lukuauk</v>
      </c>
      <c r="T199" s="96"/>
      <c r="U199" s="49">
        <f>SUM(U200:U202)</f>
        <v>553</v>
      </c>
      <c r="V199" s="48">
        <f>U207</f>
        <v>510</v>
      </c>
      <c r="W199" s="43" t="str">
        <f>A207</f>
        <v>Vest-Wood 2</v>
      </c>
      <c r="X199" s="36">
        <f t="shared" si="6"/>
        <v>2782</v>
      </c>
      <c r="Y199" s="105">
        <f>X199-5*C199</f>
        <v>2277</v>
      </c>
      <c r="Z199" s="37">
        <f>AVERAGE(Z200,Z201,Z202)</f>
        <v>185.46666666666667</v>
      </c>
      <c r="AA199" s="37">
        <f>AVERAGE(AA200,AA201,AA202)</f>
        <v>151.79999999999998</v>
      </c>
      <c r="AB199" s="219">
        <f>F200+J200+N200+R200+V200</f>
        <v>3</v>
      </c>
    </row>
    <row r="200" spans="1:28" s="38" customFormat="1" ht="15.75" customHeight="1">
      <c r="A200" s="222" t="s">
        <v>260</v>
      </c>
      <c r="B200" s="223"/>
      <c r="C200" s="159">
        <v>33</v>
      </c>
      <c r="D200" s="59">
        <v>123</v>
      </c>
      <c r="E200" s="50">
        <f>C200+D200</f>
        <v>156</v>
      </c>
      <c r="F200" s="224">
        <v>1</v>
      </c>
      <c r="G200" s="225"/>
      <c r="H200" s="97">
        <v>140</v>
      </c>
      <c r="I200" s="46">
        <f>H200+C200</f>
        <v>173</v>
      </c>
      <c r="J200" s="224">
        <v>0</v>
      </c>
      <c r="K200" s="225"/>
      <c r="L200" s="97">
        <v>160</v>
      </c>
      <c r="M200" s="50">
        <f>L200+C200</f>
        <v>193</v>
      </c>
      <c r="N200" s="224">
        <v>1</v>
      </c>
      <c r="O200" s="225"/>
      <c r="P200" s="97">
        <v>139</v>
      </c>
      <c r="Q200" s="50">
        <f>P200+C200</f>
        <v>172</v>
      </c>
      <c r="R200" s="224">
        <v>0</v>
      </c>
      <c r="S200" s="225"/>
      <c r="T200" s="97">
        <v>144</v>
      </c>
      <c r="U200" s="50">
        <f>T200+C200</f>
        <v>177</v>
      </c>
      <c r="V200" s="224">
        <v>1</v>
      </c>
      <c r="W200" s="225"/>
      <c r="X200" s="46">
        <f t="shared" si="6"/>
        <v>871</v>
      </c>
      <c r="Y200" s="106">
        <f>D200+H200+L200+P200+T200</f>
        <v>706</v>
      </c>
      <c r="Z200" s="67">
        <f>AVERAGE(E200,I200,M200,Q200,U200)</f>
        <v>174.2</v>
      </c>
      <c r="AA200" s="67">
        <f>AVERAGE(E200,I200,M200,Q200,U200)-C200</f>
        <v>141.2</v>
      </c>
      <c r="AB200" s="220"/>
    </row>
    <row r="201" spans="1:28" s="38" customFormat="1" ht="15.75" customHeight="1">
      <c r="A201" s="222" t="s">
        <v>235</v>
      </c>
      <c r="B201" s="223"/>
      <c r="C201" s="159">
        <v>38</v>
      </c>
      <c r="D201" s="59">
        <v>160</v>
      </c>
      <c r="E201" s="50">
        <f>C201+D201</f>
        <v>198</v>
      </c>
      <c r="F201" s="226"/>
      <c r="G201" s="227"/>
      <c r="H201" s="98">
        <v>102</v>
      </c>
      <c r="I201" s="46">
        <f>H201+C201</f>
        <v>140</v>
      </c>
      <c r="J201" s="226"/>
      <c r="K201" s="227"/>
      <c r="L201" s="98">
        <v>102</v>
      </c>
      <c r="M201" s="50">
        <f>L201+C201</f>
        <v>140</v>
      </c>
      <c r="N201" s="226"/>
      <c r="O201" s="227"/>
      <c r="P201" s="98">
        <v>176</v>
      </c>
      <c r="Q201" s="50">
        <f>P201+C201</f>
        <v>214</v>
      </c>
      <c r="R201" s="226"/>
      <c r="S201" s="227"/>
      <c r="T201" s="98">
        <v>143</v>
      </c>
      <c r="U201" s="50">
        <f>T201+C201</f>
        <v>181</v>
      </c>
      <c r="V201" s="226"/>
      <c r="W201" s="227"/>
      <c r="X201" s="46">
        <f t="shared" si="6"/>
        <v>873</v>
      </c>
      <c r="Y201" s="106">
        <f>D201+H201+L201+P201+T201</f>
        <v>683</v>
      </c>
      <c r="Z201" s="67">
        <f>AVERAGE(E201,I201,M201,Q201,U201)</f>
        <v>174.6</v>
      </c>
      <c r="AA201" s="67">
        <f>AVERAGE(E201,I201,M201,Q201,U201)-C201</f>
        <v>136.6</v>
      </c>
      <c r="AB201" s="220"/>
    </row>
    <row r="202" spans="1:29" s="38" customFormat="1" ht="15.75" customHeight="1" thickBot="1">
      <c r="A202" s="229" t="s">
        <v>236</v>
      </c>
      <c r="B202" s="230"/>
      <c r="C202" s="160">
        <v>30</v>
      </c>
      <c r="D202" s="60">
        <v>166</v>
      </c>
      <c r="E202" s="47">
        <f>C202+D202</f>
        <v>196</v>
      </c>
      <c r="F202" s="204"/>
      <c r="G202" s="228"/>
      <c r="H202" s="99">
        <v>169</v>
      </c>
      <c r="I202" s="46">
        <f>H202+C202</f>
        <v>199</v>
      </c>
      <c r="J202" s="204"/>
      <c r="K202" s="228"/>
      <c r="L202" s="99">
        <v>235</v>
      </c>
      <c r="M202" s="50">
        <f>L202+C202</f>
        <v>265</v>
      </c>
      <c r="N202" s="204"/>
      <c r="O202" s="228"/>
      <c r="P202" s="99">
        <v>153</v>
      </c>
      <c r="Q202" s="50">
        <f>P202+C202</f>
        <v>183</v>
      </c>
      <c r="R202" s="204"/>
      <c r="S202" s="228"/>
      <c r="T202" s="99">
        <v>165</v>
      </c>
      <c r="U202" s="50">
        <f>T202+C202</f>
        <v>195</v>
      </c>
      <c r="V202" s="204"/>
      <c r="W202" s="228"/>
      <c r="X202" s="47">
        <f t="shared" si="6"/>
        <v>1038</v>
      </c>
      <c r="Y202" s="107">
        <f>D202+H202+L202+P202+T202</f>
        <v>888</v>
      </c>
      <c r="Z202" s="68">
        <f>AVERAGE(E202,I202,M202,Q202,U202)</f>
        <v>207.6</v>
      </c>
      <c r="AA202" s="68">
        <f>AVERAGE(E202,I202,M202,Q202,U202)-C202</f>
        <v>177.6</v>
      </c>
      <c r="AB202" s="221"/>
      <c r="AC202" s="44"/>
    </row>
    <row r="203" spans="1:28" s="38" customFormat="1" ht="40.5" customHeight="1">
      <c r="A203" s="217" t="s">
        <v>224</v>
      </c>
      <c r="B203" s="218"/>
      <c r="C203" s="158">
        <f>SUM(C204:C206)</f>
        <v>100</v>
      </c>
      <c r="D203" s="62"/>
      <c r="E203" s="45">
        <f>SUM(E204:E206)</f>
        <v>660</v>
      </c>
      <c r="F203" s="45">
        <f>E191</f>
        <v>569</v>
      </c>
      <c r="G203" s="42" t="str">
        <f>A191</f>
        <v>Eesti Energia</v>
      </c>
      <c r="H203" s="100"/>
      <c r="I203" s="45">
        <f>SUM(I204:I206)</f>
        <v>517</v>
      </c>
      <c r="J203" s="45">
        <f>I187</f>
        <v>611</v>
      </c>
      <c r="K203" s="42" t="str">
        <f>A187</f>
        <v>PLANRAY</v>
      </c>
      <c r="L203" s="103"/>
      <c r="M203" s="69">
        <f>SUM(M204:M206)</f>
        <v>511</v>
      </c>
      <c r="N203" s="45">
        <f>M207</f>
        <v>673</v>
      </c>
      <c r="O203" s="42" t="str">
        <f>A207</f>
        <v>Vest-Wood 2</v>
      </c>
      <c r="P203" s="103"/>
      <c r="Q203" s="69">
        <f>SUM(Q204:Q206)</f>
        <v>671</v>
      </c>
      <c r="R203" s="45">
        <f>Q199</f>
        <v>569</v>
      </c>
      <c r="S203" s="42" t="str">
        <f>A199</f>
        <v>AKAT 1</v>
      </c>
      <c r="T203" s="103"/>
      <c r="U203" s="69">
        <f>SUM(U204:U206)</f>
        <v>643</v>
      </c>
      <c r="V203" s="45">
        <f>U195</f>
        <v>459</v>
      </c>
      <c r="W203" s="42" t="str">
        <f>A195</f>
        <v>Nordic Tsement</v>
      </c>
      <c r="X203" s="36">
        <f t="shared" si="6"/>
        <v>3002</v>
      </c>
      <c r="Y203" s="105">
        <f>X203-5*C203</f>
        <v>2502</v>
      </c>
      <c r="Z203" s="129">
        <f>AVERAGE(Z204,Z205,Z206)</f>
        <v>200.13333333333333</v>
      </c>
      <c r="AA203" s="37">
        <f>AVERAGE(AA204,AA205,AA206)</f>
        <v>166.79999999999998</v>
      </c>
      <c r="AB203" s="219">
        <f>F204+J204+N204+R204+V204</f>
        <v>3</v>
      </c>
    </row>
    <row r="204" spans="1:28" s="38" customFormat="1" ht="15.75" customHeight="1">
      <c r="A204" s="222" t="s">
        <v>218</v>
      </c>
      <c r="B204" s="223"/>
      <c r="C204" s="159">
        <v>10</v>
      </c>
      <c r="D204" s="59">
        <v>193</v>
      </c>
      <c r="E204" s="50">
        <f>C204+D204</f>
        <v>203</v>
      </c>
      <c r="F204" s="224">
        <v>1</v>
      </c>
      <c r="G204" s="225"/>
      <c r="H204" s="97">
        <v>153</v>
      </c>
      <c r="I204" s="46">
        <f>H204+C204</f>
        <v>163</v>
      </c>
      <c r="J204" s="224">
        <v>0</v>
      </c>
      <c r="K204" s="225"/>
      <c r="L204" s="97">
        <v>125</v>
      </c>
      <c r="M204" s="50">
        <f>L204+C204</f>
        <v>135</v>
      </c>
      <c r="N204" s="224">
        <v>0</v>
      </c>
      <c r="O204" s="225"/>
      <c r="P204" s="97">
        <v>205</v>
      </c>
      <c r="Q204" s="50">
        <f>P204+C204</f>
        <v>215</v>
      </c>
      <c r="R204" s="224">
        <v>1</v>
      </c>
      <c r="S204" s="225"/>
      <c r="T204" s="97">
        <v>187</v>
      </c>
      <c r="U204" s="50">
        <f>T204+C204</f>
        <v>197</v>
      </c>
      <c r="V204" s="224">
        <v>1</v>
      </c>
      <c r="W204" s="225"/>
      <c r="X204" s="46">
        <f t="shared" si="6"/>
        <v>913</v>
      </c>
      <c r="Y204" s="106">
        <f>D204+H204+L204+P204+T204</f>
        <v>863</v>
      </c>
      <c r="Z204" s="67">
        <f>AVERAGE(E204,I204,M204,Q204,U204)</f>
        <v>182.6</v>
      </c>
      <c r="AA204" s="67">
        <f>AVERAGE(E204,I204,M204,Q204,U204)-C204</f>
        <v>172.6</v>
      </c>
      <c r="AB204" s="220"/>
    </row>
    <row r="205" spans="1:28" s="38" customFormat="1" ht="15.75" customHeight="1">
      <c r="A205" s="222" t="s">
        <v>219</v>
      </c>
      <c r="B205" s="223"/>
      <c r="C205" s="159">
        <v>40</v>
      </c>
      <c r="D205" s="59">
        <v>180</v>
      </c>
      <c r="E205" s="50">
        <f>C205+D205</f>
        <v>220</v>
      </c>
      <c r="F205" s="226"/>
      <c r="G205" s="227"/>
      <c r="H205" s="98">
        <v>126</v>
      </c>
      <c r="I205" s="46">
        <f>H205+C205</f>
        <v>166</v>
      </c>
      <c r="J205" s="226"/>
      <c r="K205" s="227"/>
      <c r="L205" s="98">
        <v>139</v>
      </c>
      <c r="M205" s="50">
        <f>L205+C205</f>
        <v>179</v>
      </c>
      <c r="N205" s="226"/>
      <c r="O205" s="227"/>
      <c r="P205" s="98">
        <v>151</v>
      </c>
      <c r="Q205" s="50">
        <f>P205+C205</f>
        <v>191</v>
      </c>
      <c r="R205" s="226"/>
      <c r="S205" s="227"/>
      <c r="T205" s="98">
        <v>200</v>
      </c>
      <c r="U205" s="50">
        <f>T205+C205</f>
        <v>240</v>
      </c>
      <c r="V205" s="226"/>
      <c r="W205" s="227"/>
      <c r="X205" s="46">
        <f t="shared" si="6"/>
        <v>996</v>
      </c>
      <c r="Y205" s="106">
        <f>D205+H205+L205+P205+T205</f>
        <v>796</v>
      </c>
      <c r="Z205" s="67">
        <f>AVERAGE(E205,I205,M205,Q205,U205)</f>
        <v>199.2</v>
      </c>
      <c r="AA205" s="67">
        <f>AVERAGE(E205,I205,M205,Q205,U205)-C205</f>
        <v>159.2</v>
      </c>
      <c r="AB205" s="220"/>
    </row>
    <row r="206" spans="1:28" s="38" customFormat="1" ht="15.75" customHeight="1" thickBot="1">
      <c r="A206" s="229" t="s">
        <v>220</v>
      </c>
      <c r="B206" s="230"/>
      <c r="C206" s="160">
        <v>50</v>
      </c>
      <c r="D206" s="60">
        <v>187</v>
      </c>
      <c r="E206" s="47">
        <f>C206+D206</f>
        <v>237</v>
      </c>
      <c r="F206" s="204"/>
      <c r="G206" s="228"/>
      <c r="H206" s="99">
        <v>138</v>
      </c>
      <c r="I206" s="46">
        <f>H206+C206</f>
        <v>188</v>
      </c>
      <c r="J206" s="204"/>
      <c r="K206" s="228"/>
      <c r="L206" s="99">
        <v>147</v>
      </c>
      <c r="M206" s="50">
        <f>L206+C206</f>
        <v>197</v>
      </c>
      <c r="N206" s="204"/>
      <c r="O206" s="228"/>
      <c r="P206" s="99">
        <v>215</v>
      </c>
      <c r="Q206" s="50">
        <f>P206+C206</f>
        <v>265</v>
      </c>
      <c r="R206" s="204"/>
      <c r="S206" s="228"/>
      <c r="T206" s="99">
        <v>156</v>
      </c>
      <c r="U206" s="50">
        <f>T206+C206</f>
        <v>206</v>
      </c>
      <c r="V206" s="204"/>
      <c r="W206" s="228"/>
      <c r="X206" s="47">
        <f t="shared" si="6"/>
        <v>1093</v>
      </c>
      <c r="Y206" s="107">
        <f>D206+H206+L206+P206+T206</f>
        <v>843</v>
      </c>
      <c r="Z206" s="68">
        <f>AVERAGE(E206,I206,M206,Q206,U206)</f>
        <v>218.6</v>
      </c>
      <c r="AA206" s="68">
        <f>AVERAGE(E206,I206,M206,Q206,U206)-C206</f>
        <v>168.6</v>
      </c>
      <c r="AB206" s="221"/>
    </row>
    <row r="207" spans="1:28" s="38" customFormat="1" ht="42" customHeight="1">
      <c r="A207" s="217" t="s">
        <v>67</v>
      </c>
      <c r="B207" s="218"/>
      <c r="C207" s="158">
        <f>SUM(C208:C210)</f>
        <v>132</v>
      </c>
      <c r="D207" s="62"/>
      <c r="E207" s="45">
        <f>SUM(E208:E210)</f>
        <v>490</v>
      </c>
      <c r="F207" s="45">
        <f>E187</f>
        <v>520</v>
      </c>
      <c r="G207" s="42" t="str">
        <f>A187</f>
        <v>PLANRAY</v>
      </c>
      <c r="H207" s="100"/>
      <c r="I207" s="45">
        <f>SUM(I208:I210)</f>
        <v>534</v>
      </c>
      <c r="J207" s="45">
        <f>I195</f>
        <v>446</v>
      </c>
      <c r="K207" s="42" t="str">
        <f>A195</f>
        <v>Nordic Tsement</v>
      </c>
      <c r="L207" s="102"/>
      <c r="M207" s="49">
        <f>SUM(M208:M210)</f>
        <v>673</v>
      </c>
      <c r="N207" s="45">
        <f>M203</f>
        <v>511</v>
      </c>
      <c r="O207" s="42" t="str">
        <f>A203</f>
        <v>Assar Lukuauk</v>
      </c>
      <c r="P207" s="102"/>
      <c r="Q207" s="49">
        <f>SUM(Q208:Q210)</f>
        <v>574</v>
      </c>
      <c r="R207" s="45">
        <f>Q191</f>
        <v>566</v>
      </c>
      <c r="S207" s="42" t="str">
        <f>A191</f>
        <v>Eesti Energia</v>
      </c>
      <c r="T207" s="102"/>
      <c r="U207" s="49">
        <f>SUM(U208:U210)</f>
        <v>510</v>
      </c>
      <c r="V207" s="45">
        <f>U199</f>
        <v>553</v>
      </c>
      <c r="W207" s="42" t="str">
        <f>A199</f>
        <v>AKAT 1</v>
      </c>
      <c r="X207" s="36">
        <f t="shared" si="6"/>
        <v>2781</v>
      </c>
      <c r="Y207" s="105">
        <f>X207-5*C207</f>
        <v>2121</v>
      </c>
      <c r="Z207" s="37">
        <f>AVERAGE(Z208,Z209,Z210)</f>
        <v>185.4</v>
      </c>
      <c r="AA207" s="37">
        <f>AVERAGE(AA208,AA209,AA210)</f>
        <v>141.4</v>
      </c>
      <c r="AB207" s="219">
        <f>F208+J208+N208+R208+V208</f>
        <v>3</v>
      </c>
    </row>
    <row r="208" spans="1:28" s="38" customFormat="1" ht="15.75" customHeight="1">
      <c r="A208" s="222" t="s">
        <v>262</v>
      </c>
      <c r="B208" s="223"/>
      <c r="C208" s="159">
        <v>51</v>
      </c>
      <c r="D208" s="59">
        <v>127</v>
      </c>
      <c r="E208" s="50">
        <f>C208+D208</f>
        <v>178</v>
      </c>
      <c r="F208" s="224">
        <v>0</v>
      </c>
      <c r="G208" s="225"/>
      <c r="H208" s="97">
        <v>171</v>
      </c>
      <c r="I208" s="46">
        <f>H208+C208</f>
        <v>222</v>
      </c>
      <c r="J208" s="224">
        <v>1</v>
      </c>
      <c r="K208" s="225"/>
      <c r="L208" s="97">
        <v>218</v>
      </c>
      <c r="M208" s="50">
        <f>L208+C208</f>
        <v>269</v>
      </c>
      <c r="N208" s="224">
        <v>1</v>
      </c>
      <c r="O208" s="225"/>
      <c r="P208" s="97">
        <v>159</v>
      </c>
      <c r="Q208" s="50">
        <f>P208+C208</f>
        <v>210</v>
      </c>
      <c r="R208" s="224">
        <v>1</v>
      </c>
      <c r="S208" s="225"/>
      <c r="T208" s="97">
        <v>135</v>
      </c>
      <c r="U208" s="50">
        <f>T208+C208</f>
        <v>186</v>
      </c>
      <c r="V208" s="224">
        <v>0</v>
      </c>
      <c r="W208" s="225"/>
      <c r="X208" s="46">
        <f t="shared" si="6"/>
        <v>1065</v>
      </c>
      <c r="Y208" s="106">
        <f>D208+H208+L208+P208+T208</f>
        <v>810</v>
      </c>
      <c r="Z208" s="67">
        <f>AVERAGE(E208,I208,M208,Q208,U208)</f>
        <v>213</v>
      </c>
      <c r="AA208" s="67">
        <f>AVERAGE(E208,I208,M208,Q208,U208)-C208</f>
        <v>162</v>
      </c>
      <c r="AB208" s="220"/>
    </row>
    <row r="209" spans="1:28" s="38" customFormat="1" ht="15.75" customHeight="1">
      <c r="A209" s="222" t="s">
        <v>263</v>
      </c>
      <c r="B209" s="223"/>
      <c r="C209" s="159">
        <v>60</v>
      </c>
      <c r="D209" s="59">
        <v>97</v>
      </c>
      <c r="E209" s="50">
        <f>C209+D209</f>
        <v>157</v>
      </c>
      <c r="F209" s="226"/>
      <c r="G209" s="227"/>
      <c r="H209" s="98">
        <v>83</v>
      </c>
      <c r="I209" s="46">
        <f>H209+C209</f>
        <v>143</v>
      </c>
      <c r="J209" s="226"/>
      <c r="K209" s="227"/>
      <c r="L209" s="98">
        <v>118</v>
      </c>
      <c r="M209" s="50">
        <f>L209+C209</f>
        <v>178</v>
      </c>
      <c r="N209" s="226"/>
      <c r="O209" s="227"/>
      <c r="P209" s="98">
        <v>135</v>
      </c>
      <c r="Q209" s="50">
        <f>P209+C209</f>
        <v>195</v>
      </c>
      <c r="R209" s="226"/>
      <c r="S209" s="227"/>
      <c r="T209" s="98">
        <v>103</v>
      </c>
      <c r="U209" s="50">
        <f>T209+C209</f>
        <v>163</v>
      </c>
      <c r="V209" s="226"/>
      <c r="W209" s="227"/>
      <c r="X209" s="46">
        <f t="shared" si="6"/>
        <v>836</v>
      </c>
      <c r="Y209" s="106">
        <f>D209+H209+L209+P209+T209</f>
        <v>536</v>
      </c>
      <c r="Z209" s="67">
        <f>AVERAGE(E209,I209,M209,Q209,U209)</f>
        <v>167.2</v>
      </c>
      <c r="AA209" s="67">
        <f>AVERAGE(E209,I209,M209,Q209,U209)-C209</f>
        <v>107.19999999999999</v>
      </c>
      <c r="AB209" s="220"/>
    </row>
    <row r="210" spans="1:28" s="38" customFormat="1" ht="15.75" customHeight="1" thickBot="1">
      <c r="A210" s="229" t="s">
        <v>46</v>
      </c>
      <c r="B210" s="230"/>
      <c r="C210" s="160">
        <v>21</v>
      </c>
      <c r="D210" s="60">
        <v>134</v>
      </c>
      <c r="E210" s="47">
        <f>C210+D210</f>
        <v>155</v>
      </c>
      <c r="F210" s="204"/>
      <c r="G210" s="228"/>
      <c r="H210" s="99">
        <v>148</v>
      </c>
      <c r="I210" s="47">
        <f>H210+C210</f>
        <v>169</v>
      </c>
      <c r="J210" s="204"/>
      <c r="K210" s="228"/>
      <c r="L210" s="99">
        <v>205</v>
      </c>
      <c r="M210" s="47">
        <f>L210+C210</f>
        <v>226</v>
      </c>
      <c r="N210" s="204"/>
      <c r="O210" s="228"/>
      <c r="P210" s="99">
        <v>148</v>
      </c>
      <c r="Q210" s="47">
        <f>P210+C210</f>
        <v>169</v>
      </c>
      <c r="R210" s="204"/>
      <c r="S210" s="228"/>
      <c r="T210" s="99">
        <v>140</v>
      </c>
      <c r="U210" s="47">
        <f>T210+C210</f>
        <v>161</v>
      </c>
      <c r="V210" s="204"/>
      <c r="W210" s="228"/>
      <c r="X210" s="47">
        <f t="shared" si="6"/>
        <v>880</v>
      </c>
      <c r="Y210" s="107">
        <f>D210+H210+L210+P210+T210</f>
        <v>775</v>
      </c>
      <c r="Z210" s="68">
        <f>AVERAGE(E210,I210,M210,Q210,U210)</f>
        <v>176</v>
      </c>
      <c r="AA210" s="68">
        <f>AVERAGE(E210,I210,M210,Q210,U210)-C210</f>
        <v>155</v>
      </c>
      <c r="AB210" s="221"/>
    </row>
  </sheetData>
  <mergeCells count="511">
    <mergeCell ref="A31:U33"/>
    <mergeCell ref="A26:B26"/>
    <mergeCell ref="AB26:AB29"/>
    <mergeCell ref="A27:B27"/>
    <mergeCell ref="F27:G29"/>
    <mergeCell ref="J27:K29"/>
    <mergeCell ref="N27:O29"/>
    <mergeCell ref="R27:S29"/>
    <mergeCell ref="V27:W29"/>
    <mergeCell ref="A28:B28"/>
    <mergeCell ref="A29:B29"/>
    <mergeCell ref="A22:B22"/>
    <mergeCell ref="AB22:AB25"/>
    <mergeCell ref="A23:B23"/>
    <mergeCell ref="F23:G25"/>
    <mergeCell ref="J23:K25"/>
    <mergeCell ref="N23:O25"/>
    <mergeCell ref="R23:S25"/>
    <mergeCell ref="V23:W25"/>
    <mergeCell ref="A24:B24"/>
    <mergeCell ref="A25:B25"/>
    <mergeCell ref="A18:B18"/>
    <mergeCell ref="AB18:AB21"/>
    <mergeCell ref="A19:B19"/>
    <mergeCell ref="F19:G21"/>
    <mergeCell ref="J19:K21"/>
    <mergeCell ref="N19:O21"/>
    <mergeCell ref="R19:S21"/>
    <mergeCell ref="V19:W21"/>
    <mergeCell ref="A20:B20"/>
    <mergeCell ref="A21:B21"/>
    <mergeCell ref="A14:B14"/>
    <mergeCell ref="AB14:AB17"/>
    <mergeCell ref="A15:B15"/>
    <mergeCell ref="F15:G17"/>
    <mergeCell ref="J15:K17"/>
    <mergeCell ref="N15:O17"/>
    <mergeCell ref="R15:S17"/>
    <mergeCell ref="V15:W17"/>
    <mergeCell ref="A16:B16"/>
    <mergeCell ref="A17:B17"/>
    <mergeCell ref="A10:B10"/>
    <mergeCell ref="AB10:AB13"/>
    <mergeCell ref="A11:B11"/>
    <mergeCell ref="F11:G13"/>
    <mergeCell ref="J11:K13"/>
    <mergeCell ref="N11:O13"/>
    <mergeCell ref="R11:S13"/>
    <mergeCell ref="V11:W13"/>
    <mergeCell ref="A12:B12"/>
    <mergeCell ref="A13:B13"/>
    <mergeCell ref="A6:B6"/>
    <mergeCell ref="AB6:AB9"/>
    <mergeCell ref="A7:B7"/>
    <mergeCell ref="F7:G9"/>
    <mergeCell ref="J7:K9"/>
    <mergeCell ref="N7:O9"/>
    <mergeCell ref="R7:S9"/>
    <mergeCell ref="V7:W9"/>
    <mergeCell ref="A8:B8"/>
    <mergeCell ref="A9:B9"/>
    <mergeCell ref="V4:W4"/>
    <mergeCell ref="A5:B5"/>
    <mergeCell ref="F5:G5"/>
    <mergeCell ref="J5:K5"/>
    <mergeCell ref="N5:O5"/>
    <mergeCell ref="R5:S5"/>
    <mergeCell ref="V5:W5"/>
    <mergeCell ref="A1:U3"/>
    <mergeCell ref="A4:B4"/>
    <mergeCell ref="F4:G4"/>
    <mergeCell ref="J4:K4"/>
    <mergeCell ref="N4:O4"/>
    <mergeCell ref="R4:S4"/>
    <mergeCell ref="A86:B86"/>
    <mergeCell ref="AB86:AB89"/>
    <mergeCell ref="A87:B87"/>
    <mergeCell ref="F87:G89"/>
    <mergeCell ref="J87:K89"/>
    <mergeCell ref="N87:O89"/>
    <mergeCell ref="R87:S89"/>
    <mergeCell ref="V87:W89"/>
    <mergeCell ref="A88:B88"/>
    <mergeCell ref="A89:B89"/>
    <mergeCell ref="A82:B82"/>
    <mergeCell ref="AB82:AB85"/>
    <mergeCell ref="A83:B83"/>
    <mergeCell ref="F83:G85"/>
    <mergeCell ref="J83:K85"/>
    <mergeCell ref="N83:O85"/>
    <mergeCell ref="R83:S85"/>
    <mergeCell ref="V83:W85"/>
    <mergeCell ref="A84:B84"/>
    <mergeCell ref="A85:B85"/>
    <mergeCell ref="A78:B78"/>
    <mergeCell ref="AB78:AB81"/>
    <mergeCell ref="A79:B79"/>
    <mergeCell ref="F79:G81"/>
    <mergeCell ref="J79:K81"/>
    <mergeCell ref="N79:O81"/>
    <mergeCell ref="R79:S81"/>
    <mergeCell ref="V79:W81"/>
    <mergeCell ref="A80:B80"/>
    <mergeCell ref="A81:B81"/>
    <mergeCell ref="A74:B74"/>
    <mergeCell ref="AB74:AB77"/>
    <mergeCell ref="A75:B75"/>
    <mergeCell ref="F75:G77"/>
    <mergeCell ref="J75:K77"/>
    <mergeCell ref="N75:O77"/>
    <mergeCell ref="R75:S77"/>
    <mergeCell ref="V75:W77"/>
    <mergeCell ref="A76:B76"/>
    <mergeCell ref="A77:B77"/>
    <mergeCell ref="A70:B70"/>
    <mergeCell ref="AB70:AB73"/>
    <mergeCell ref="A71:B71"/>
    <mergeCell ref="F71:G73"/>
    <mergeCell ref="J71:K73"/>
    <mergeCell ref="N71:O73"/>
    <mergeCell ref="R71:S73"/>
    <mergeCell ref="V71:W73"/>
    <mergeCell ref="A72:B72"/>
    <mergeCell ref="A73:B73"/>
    <mergeCell ref="A66:B66"/>
    <mergeCell ref="AB66:AB69"/>
    <mergeCell ref="A67:B67"/>
    <mergeCell ref="F67:G69"/>
    <mergeCell ref="J67:K69"/>
    <mergeCell ref="N67:O69"/>
    <mergeCell ref="R67:S69"/>
    <mergeCell ref="V67:W69"/>
    <mergeCell ref="A68:B68"/>
    <mergeCell ref="A69:B69"/>
    <mergeCell ref="V64:W64"/>
    <mergeCell ref="A65:B65"/>
    <mergeCell ref="F65:G65"/>
    <mergeCell ref="J65:K65"/>
    <mergeCell ref="N65:O65"/>
    <mergeCell ref="R65:S65"/>
    <mergeCell ref="V65:W65"/>
    <mergeCell ref="A61:U63"/>
    <mergeCell ref="A64:B64"/>
    <mergeCell ref="F64:G64"/>
    <mergeCell ref="J64:K64"/>
    <mergeCell ref="N64:O64"/>
    <mergeCell ref="R64:S64"/>
    <mergeCell ref="R148:S150"/>
    <mergeCell ref="A149:B149"/>
    <mergeCell ref="A150:B150"/>
    <mergeCell ref="A148:B148"/>
    <mergeCell ref="F148:G150"/>
    <mergeCell ref="J148:K150"/>
    <mergeCell ref="N148:O150"/>
    <mergeCell ref="R144:S146"/>
    <mergeCell ref="A145:B145"/>
    <mergeCell ref="A146:B146"/>
    <mergeCell ref="A147:B147"/>
    <mergeCell ref="A144:B144"/>
    <mergeCell ref="F144:G146"/>
    <mergeCell ref="J144:K146"/>
    <mergeCell ref="N144:O146"/>
    <mergeCell ref="R140:S142"/>
    <mergeCell ref="A141:B141"/>
    <mergeCell ref="A142:B142"/>
    <mergeCell ref="A143:B143"/>
    <mergeCell ref="A140:B140"/>
    <mergeCell ref="F140:G142"/>
    <mergeCell ref="J140:K142"/>
    <mergeCell ref="N140:O142"/>
    <mergeCell ref="R136:S138"/>
    <mergeCell ref="A137:B137"/>
    <mergeCell ref="A138:B138"/>
    <mergeCell ref="A139:B139"/>
    <mergeCell ref="A136:B136"/>
    <mergeCell ref="F136:G138"/>
    <mergeCell ref="J136:K138"/>
    <mergeCell ref="N136:O138"/>
    <mergeCell ref="R132:S134"/>
    <mergeCell ref="A133:B133"/>
    <mergeCell ref="A134:B134"/>
    <mergeCell ref="A135:B135"/>
    <mergeCell ref="A132:B132"/>
    <mergeCell ref="F132:G134"/>
    <mergeCell ref="J132:K134"/>
    <mergeCell ref="N132:O134"/>
    <mergeCell ref="R128:S130"/>
    <mergeCell ref="A129:B129"/>
    <mergeCell ref="A130:B130"/>
    <mergeCell ref="A131:B131"/>
    <mergeCell ref="A128:B128"/>
    <mergeCell ref="F128:G130"/>
    <mergeCell ref="J128:K130"/>
    <mergeCell ref="N128:O130"/>
    <mergeCell ref="J126:K126"/>
    <mergeCell ref="N126:O126"/>
    <mergeCell ref="R126:S126"/>
    <mergeCell ref="A127:B127"/>
    <mergeCell ref="AB147:AB150"/>
    <mergeCell ref="V148:W150"/>
    <mergeCell ref="A120:U123"/>
    <mergeCell ref="A125:B125"/>
    <mergeCell ref="F125:G125"/>
    <mergeCell ref="J125:K125"/>
    <mergeCell ref="N125:O125"/>
    <mergeCell ref="R125:S125"/>
    <mergeCell ref="A126:B126"/>
    <mergeCell ref="F126:G126"/>
    <mergeCell ref="AB139:AB142"/>
    <mergeCell ref="V140:W142"/>
    <mergeCell ref="AB143:AB146"/>
    <mergeCell ref="V144:W146"/>
    <mergeCell ref="AB131:AB134"/>
    <mergeCell ref="V132:W134"/>
    <mergeCell ref="AB135:AB138"/>
    <mergeCell ref="V136:W138"/>
    <mergeCell ref="V125:W125"/>
    <mergeCell ref="V126:W126"/>
    <mergeCell ref="AB127:AB130"/>
    <mergeCell ref="V128:W130"/>
    <mergeCell ref="A207:B207"/>
    <mergeCell ref="AB207:AB210"/>
    <mergeCell ref="A208:B208"/>
    <mergeCell ref="F208:G210"/>
    <mergeCell ref="J208:K210"/>
    <mergeCell ref="N208:O210"/>
    <mergeCell ref="R208:S210"/>
    <mergeCell ref="V208:W210"/>
    <mergeCell ref="A209:B209"/>
    <mergeCell ref="A210:B210"/>
    <mergeCell ref="A203:B203"/>
    <mergeCell ref="AB203:AB206"/>
    <mergeCell ref="A204:B204"/>
    <mergeCell ref="F204:G206"/>
    <mergeCell ref="J204:K206"/>
    <mergeCell ref="N204:O206"/>
    <mergeCell ref="R204:S206"/>
    <mergeCell ref="V204:W206"/>
    <mergeCell ref="A205:B205"/>
    <mergeCell ref="A206:B206"/>
    <mergeCell ref="A199:B199"/>
    <mergeCell ref="AB199:AB202"/>
    <mergeCell ref="A200:B200"/>
    <mergeCell ref="F200:G202"/>
    <mergeCell ref="J200:K202"/>
    <mergeCell ref="N200:O202"/>
    <mergeCell ref="R200:S202"/>
    <mergeCell ref="V200:W202"/>
    <mergeCell ref="A201:B201"/>
    <mergeCell ref="A202:B202"/>
    <mergeCell ref="A195:B195"/>
    <mergeCell ref="AB195:AB198"/>
    <mergeCell ref="A196:B196"/>
    <mergeCell ref="F196:G198"/>
    <mergeCell ref="J196:K198"/>
    <mergeCell ref="N196:O198"/>
    <mergeCell ref="R196:S198"/>
    <mergeCell ref="V196:W198"/>
    <mergeCell ref="A197:B197"/>
    <mergeCell ref="A198:B198"/>
    <mergeCell ref="A191:B191"/>
    <mergeCell ref="AB191:AB194"/>
    <mergeCell ref="A192:B192"/>
    <mergeCell ref="F192:G194"/>
    <mergeCell ref="J192:K194"/>
    <mergeCell ref="N192:O194"/>
    <mergeCell ref="R192:S194"/>
    <mergeCell ref="V192:W194"/>
    <mergeCell ref="A193:B193"/>
    <mergeCell ref="A194:B194"/>
    <mergeCell ref="A187:B187"/>
    <mergeCell ref="AB187:AB190"/>
    <mergeCell ref="A188:B188"/>
    <mergeCell ref="F188:G190"/>
    <mergeCell ref="J188:K190"/>
    <mergeCell ref="N188:O190"/>
    <mergeCell ref="R188:S190"/>
    <mergeCell ref="V188:W190"/>
    <mergeCell ref="A189:B189"/>
    <mergeCell ref="A190:B190"/>
    <mergeCell ref="V185:W185"/>
    <mergeCell ref="A186:B186"/>
    <mergeCell ref="F186:G186"/>
    <mergeCell ref="J186:K186"/>
    <mergeCell ref="N186:O186"/>
    <mergeCell ref="R186:S186"/>
    <mergeCell ref="V186:W186"/>
    <mergeCell ref="A181:U183"/>
    <mergeCell ref="A185:B185"/>
    <mergeCell ref="F185:G185"/>
    <mergeCell ref="J185:K185"/>
    <mergeCell ref="N185:O185"/>
    <mergeCell ref="R185:S185"/>
    <mergeCell ref="V155:W155"/>
    <mergeCell ref="A156:B156"/>
    <mergeCell ref="F156:G156"/>
    <mergeCell ref="J156:K156"/>
    <mergeCell ref="N156:O156"/>
    <mergeCell ref="R156:S156"/>
    <mergeCell ref="V156:W156"/>
    <mergeCell ref="A155:B155"/>
    <mergeCell ref="F155:G155"/>
    <mergeCell ref="J155:K155"/>
    <mergeCell ref="AB157:AB160"/>
    <mergeCell ref="A158:B158"/>
    <mergeCell ref="F158:G160"/>
    <mergeCell ref="J158:K160"/>
    <mergeCell ref="N158:O160"/>
    <mergeCell ref="R158:S160"/>
    <mergeCell ref="V158:W160"/>
    <mergeCell ref="A159:B159"/>
    <mergeCell ref="A160:B160"/>
    <mergeCell ref="AB161:AB164"/>
    <mergeCell ref="A162:B162"/>
    <mergeCell ref="F162:G164"/>
    <mergeCell ref="J162:K164"/>
    <mergeCell ref="N162:O164"/>
    <mergeCell ref="R162:S164"/>
    <mergeCell ref="V162:W164"/>
    <mergeCell ref="A163:B163"/>
    <mergeCell ref="A164:B164"/>
    <mergeCell ref="AB165:AB168"/>
    <mergeCell ref="A166:B166"/>
    <mergeCell ref="F166:G168"/>
    <mergeCell ref="J166:K168"/>
    <mergeCell ref="N166:O168"/>
    <mergeCell ref="R166:S168"/>
    <mergeCell ref="V166:W168"/>
    <mergeCell ref="A167:B167"/>
    <mergeCell ref="A168:B168"/>
    <mergeCell ref="AB169:AB172"/>
    <mergeCell ref="A170:B170"/>
    <mergeCell ref="F170:G172"/>
    <mergeCell ref="J170:K172"/>
    <mergeCell ref="N170:O172"/>
    <mergeCell ref="R170:S172"/>
    <mergeCell ref="V170:W172"/>
    <mergeCell ref="A171:B171"/>
    <mergeCell ref="A172:B172"/>
    <mergeCell ref="AB173:AB176"/>
    <mergeCell ref="A174:B174"/>
    <mergeCell ref="F174:G176"/>
    <mergeCell ref="J174:K176"/>
    <mergeCell ref="N174:O176"/>
    <mergeCell ref="R174:S176"/>
    <mergeCell ref="V174:W176"/>
    <mergeCell ref="A175:B175"/>
    <mergeCell ref="A176:B176"/>
    <mergeCell ref="AB177:AB180"/>
    <mergeCell ref="A178:B178"/>
    <mergeCell ref="F178:G180"/>
    <mergeCell ref="J178:K180"/>
    <mergeCell ref="N178:O180"/>
    <mergeCell ref="R178:S180"/>
    <mergeCell ref="V178:W180"/>
    <mergeCell ref="A179:B179"/>
    <mergeCell ref="A180:B180"/>
    <mergeCell ref="N94:O94"/>
    <mergeCell ref="A177:B177"/>
    <mergeCell ref="A173:B173"/>
    <mergeCell ref="A169:B169"/>
    <mergeCell ref="A165:B165"/>
    <mergeCell ref="A161:B161"/>
    <mergeCell ref="A157:B157"/>
    <mergeCell ref="A151:U153"/>
    <mergeCell ref="N155:O155"/>
    <mergeCell ref="R155:S155"/>
    <mergeCell ref="V94:W94"/>
    <mergeCell ref="A95:B95"/>
    <mergeCell ref="F95:G95"/>
    <mergeCell ref="J95:K95"/>
    <mergeCell ref="N95:O95"/>
    <mergeCell ref="R95:S95"/>
    <mergeCell ref="V95:W95"/>
    <mergeCell ref="A94:B94"/>
    <mergeCell ref="F94:G94"/>
    <mergeCell ref="J94:K94"/>
    <mergeCell ref="AB96:AB99"/>
    <mergeCell ref="A97:B97"/>
    <mergeCell ref="F97:G99"/>
    <mergeCell ref="J97:K99"/>
    <mergeCell ref="N97:O99"/>
    <mergeCell ref="R97:S99"/>
    <mergeCell ref="V97:W99"/>
    <mergeCell ref="A98:B98"/>
    <mergeCell ref="A99:B99"/>
    <mergeCell ref="AB100:AB103"/>
    <mergeCell ref="A101:B101"/>
    <mergeCell ref="F101:G103"/>
    <mergeCell ref="J101:K103"/>
    <mergeCell ref="N101:O103"/>
    <mergeCell ref="R101:S103"/>
    <mergeCell ref="V101:W103"/>
    <mergeCell ref="A102:B102"/>
    <mergeCell ref="A103:B103"/>
    <mergeCell ref="AB104:AB107"/>
    <mergeCell ref="A105:B105"/>
    <mergeCell ref="F105:G107"/>
    <mergeCell ref="J105:K107"/>
    <mergeCell ref="N105:O107"/>
    <mergeCell ref="R105:S107"/>
    <mergeCell ref="V105:W107"/>
    <mergeCell ref="A106:B106"/>
    <mergeCell ref="A107:B107"/>
    <mergeCell ref="AB108:AB111"/>
    <mergeCell ref="A109:B109"/>
    <mergeCell ref="F109:G111"/>
    <mergeCell ref="J109:K111"/>
    <mergeCell ref="N109:O111"/>
    <mergeCell ref="R109:S111"/>
    <mergeCell ref="V109:W111"/>
    <mergeCell ref="A110:B110"/>
    <mergeCell ref="A111:B111"/>
    <mergeCell ref="AB112:AB115"/>
    <mergeCell ref="A113:B113"/>
    <mergeCell ref="F113:G115"/>
    <mergeCell ref="J113:K115"/>
    <mergeCell ref="N113:O115"/>
    <mergeCell ref="R113:S115"/>
    <mergeCell ref="V113:W115"/>
    <mergeCell ref="A114:B114"/>
    <mergeCell ref="A115:B115"/>
    <mergeCell ref="AB116:AB119"/>
    <mergeCell ref="A117:B117"/>
    <mergeCell ref="F117:G119"/>
    <mergeCell ref="J117:K119"/>
    <mergeCell ref="N117:O119"/>
    <mergeCell ref="R117:S119"/>
    <mergeCell ref="V117:W119"/>
    <mergeCell ref="A118:B118"/>
    <mergeCell ref="A119:B119"/>
    <mergeCell ref="J35:K35"/>
    <mergeCell ref="N35:O35"/>
    <mergeCell ref="A91:U93"/>
    <mergeCell ref="A116:B116"/>
    <mergeCell ref="A112:B112"/>
    <mergeCell ref="A108:B108"/>
    <mergeCell ref="A104:B104"/>
    <mergeCell ref="A100:B100"/>
    <mergeCell ref="A96:B96"/>
    <mergeCell ref="R94:S94"/>
    <mergeCell ref="R35:S35"/>
    <mergeCell ref="V35:W35"/>
    <mergeCell ref="A36:B36"/>
    <mergeCell ref="F36:G36"/>
    <mergeCell ref="J36:K36"/>
    <mergeCell ref="N36:O36"/>
    <mergeCell ref="R36:S36"/>
    <mergeCell ref="V36:W36"/>
    <mergeCell ref="A35:B35"/>
    <mergeCell ref="F35:G35"/>
    <mergeCell ref="A37:B37"/>
    <mergeCell ref="AB37:AB40"/>
    <mergeCell ref="A38:B38"/>
    <mergeCell ref="F38:G40"/>
    <mergeCell ref="J38:K40"/>
    <mergeCell ref="N38:O40"/>
    <mergeCell ref="R38:S40"/>
    <mergeCell ref="V38:W40"/>
    <mergeCell ref="A39:B39"/>
    <mergeCell ref="A40:B40"/>
    <mergeCell ref="A41:B41"/>
    <mergeCell ref="AB41:AB44"/>
    <mergeCell ref="A42:B42"/>
    <mergeCell ref="F42:G44"/>
    <mergeCell ref="J42:K44"/>
    <mergeCell ref="N42:O44"/>
    <mergeCell ref="R42:S44"/>
    <mergeCell ref="V42:W44"/>
    <mergeCell ref="A43:B43"/>
    <mergeCell ref="A44:B44"/>
    <mergeCell ref="A45:B45"/>
    <mergeCell ref="AB45:AB48"/>
    <mergeCell ref="A46:B46"/>
    <mergeCell ref="F46:G48"/>
    <mergeCell ref="J46:K48"/>
    <mergeCell ref="N46:O48"/>
    <mergeCell ref="R46:S48"/>
    <mergeCell ref="V46:W48"/>
    <mergeCell ref="A47:B47"/>
    <mergeCell ref="A48:B48"/>
    <mergeCell ref="A49:B49"/>
    <mergeCell ref="AB49:AB52"/>
    <mergeCell ref="A50:B50"/>
    <mergeCell ref="F50:G52"/>
    <mergeCell ref="J50:K52"/>
    <mergeCell ref="N50:O52"/>
    <mergeCell ref="R50:S52"/>
    <mergeCell ref="V50:W52"/>
    <mergeCell ref="A51:B51"/>
    <mergeCell ref="A52:B52"/>
    <mergeCell ref="A53:B53"/>
    <mergeCell ref="AB53:AB56"/>
    <mergeCell ref="A54:B54"/>
    <mergeCell ref="F54:G56"/>
    <mergeCell ref="J54:K56"/>
    <mergeCell ref="N54:O56"/>
    <mergeCell ref="R54:S56"/>
    <mergeCell ref="V54:W56"/>
    <mergeCell ref="A55:B55"/>
    <mergeCell ref="A56:B56"/>
    <mergeCell ref="A57:B57"/>
    <mergeCell ref="AB57:AB60"/>
    <mergeCell ref="A58:B58"/>
    <mergeCell ref="F58:G60"/>
    <mergeCell ref="J58:K60"/>
    <mergeCell ref="N58:O60"/>
    <mergeCell ref="R58:S60"/>
    <mergeCell ref="V58:W60"/>
    <mergeCell ref="A59:B59"/>
    <mergeCell ref="A60:B60"/>
  </mergeCells>
  <conditionalFormatting sqref="L204:M206 F204 H204:I206 C204:E206 J83 X200:X206 J191 Y204:Z206 V204 R204 N204 J204 T204:U206 P204:Q206 F174 H174:I176 X170:X176 J161 Y174:Z176 V174 L174:M176 Q175:Q176 N174 C174:E176 J174 T174:U176 P174:P176 Q174:R174 T144:U146 F144 H144:I146 P144:Q146 X140:X146 J131 Y144:Z146 V144 R144 N144 L144:M146 J144 C144:E146 F113 C113:E115 X109:X115 J100 Y113:Z115 V113 H113:I115 R113 N113 J113 T113:U115 P113:Q115 L113:M115 L83:M85 F83 H83:I85 P83:Q85 X79:X85 J70 Y83:Z85 V83 T83:U85 R83 N83 C83:E85 C196:Z198 Y200:Z202 C200:W202 C192:Z194 C188:Z190 C208:Z210 Y170:Z172 C170:W172 C166:Z168 C162:Z164 Y79:Z81 C79:W81 C178:Z180 C158:Z160 C128:Z130 C75:Z77 C132:Z134 Y140:Z142 C140:W142 C136:Z138 C148:Z150 Y109:Z111 C109:W111 C97:Z99 C105:Z107 C71:Z73 C101:Z103 C117:Z119 C67:Z69 C87:Z89 J54 C42:Z44 F54 C38:Z40 C46:Z48 X50:X56 J41 Y54:Z56 V54 C50:W52 R54 N54 T54:U56 Y50:Z52 P54:Q56 L54:M56 H54:I56 C54:E56 C58:Z60 J23 C11:Z13 F23 T23:U25 C15:Z17 X19:X25 J10 Y23:Z25 V23 C19:W21 R23 N23 P23:Q25 Y19:Z21 L23:M25 H23:I25 C23:E25 C7:Z9 C27:Z29">
    <cfRule type="cellIs" priority="1" dxfId="6" operator="between" stopIfTrue="1">
      <formula>200</formula>
      <formula>300</formula>
    </cfRule>
  </conditionalFormatting>
  <printOptions/>
  <pageMargins left="0.38" right="0.46" top="1" bottom="1" header="0.5" footer="0.5"/>
  <pageSetup fitToHeight="1" fitToWidth="1" horizontalDpi="300" verticalDpi="3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2"/>
  <sheetViews>
    <sheetView zoomScale="70" zoomScaleNormal="70" workbookViewId="0" topLeftCell="A1">
      <selection activeCell="Y2" sqref="Y2"/>
    </sheetView>
  </sheetViews>
  <sheetFormatPr defaultColWidth="9.140625" defaultRowHeight="12.75"/>
  <cols>
    <col min="1" max="1" width="9.140625" style="39" customWidth="1"/>
    <col min="2" max="2" width="10.00390625" style="39" customWidth="1"/>
    <col min="3" max="3" width="5.28125" style="161" customWidth="1"/>
    <col min="4" max="4" width="5.28125" style="61" hidden="1" customWidth="1"/>
    <col min="5" max="5" width="8.140625" style="22" bestFit="1" customWidth="1"/>
    <col min="6" max="6" width="7.28125" style="22" customWidth="1"/>
    <col min="7" max="7" width="8.57421875" style="22" customWidth="1"/>
    <col min="8" max="8" width="5.28125" style="83" hidden="1" customWidth="1"/>
    <col min="9" max="9" width="8.140625" style="22" bestFit="1" customWidth="1"/>
    <col min="10" max="10" width="7.140625" style="22" customWidth="1"/>
    <col min="11" max="11" width="8.57421875" style="22" customWidth="1"/>
    <col min="12" max="12" width="5.28125" style="83" hidden="1" customWidth="1"/>
    <col min="13" max="13" width="8.140625" style="22" bestFit="1" customWidth="1"/>
    <col min="14" max="14" width="7.421875" style="22" customWidth="1"/>
    <col min="15" max="15" width="8.7109375" style="22" customWidth="1"/>
    <col min="16" max="16" width="5.140625" style="83" hidden="1" customWidth="1"/>
    <col min="17" max="17" width="8.140625" style="22" bestFit="1" customWidth="1"/>
    <col min="18" max="18" width="7.8515625" style="22" customWidth="1"/>
    <col min="19" max="19" width="9.00390625" style="22" customWidth="1"/>
    <col min="20" max="20" width="5.28125" style="83" hidden="1" customWidth="1"/>
    <col min="21" max="21" width="8.140625" style="22" bestFit="1" customWidth="1"/>
    <col min="22" max="22" width="7.421875" style="22" customWidth="1"/>
    <col min="23" max="23" width="9.28125" style="22" customWidth="1"/>
    <col min="24" max="24" width="5.8515625" style="83" hidden="1" customWidth="1"/>
    <col min="25" max="25" width="10.00390625" style="22" customWidth="1"/>
    <col min="26" max="26" width="6.57421875" style="76" hidden="1" customWidth="1"/>
    <col min="27" max="27" width="11.140625" style="22" customWidth="1"/>
    <col min="28" max="28" width="10.57421875" style="122" bestFit="1" customWidth="1"/>
    <col min="29" max="29" width="10.7109375" style="22" bestFit="1" customWidth="1"/>
    <col min="30" max="16384" width="9.140625" style="22" customWidth="1"/>
  </cols>
  <sheetData>
    <row r="1" spans="1:29" s="40" customFormat="1" ht="11.25" customHeight="1">
      <c r="A1" s="233" t="s">
        <v>196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4"/>
      <c r="W1" s="25"/>
      <c r="X1" s="57"/>
      <c r="Z1" s="70"/>
      <c r="AA1" s="41"/>
      <c r="AB1" s="121"/>
      <c r="AC1" s="25"/>
    </row>
    <row r="2" spans="1:29" s="40" customFormat="1" ht="4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4"/>
      <c r="W2" s="25"/>
      <c r="X2" s="57"/>
      <c r="Z2" s="70"/>
      <c r="AA2" s="41"/>
      <c r="AB2" s="121"/>
      <c r="AC2" s="25"/>
    </row>
    <row r="3" spans="1:29" s="40" customFormat="1" ht="23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4"/>
      <c r="W3" s="25"/>
      <c r="X3" s="57"/>
      <c r="Z3" s="70"/>
      <c r="AA3" s="41"/>
      <c r="AB3" s="121"/>
      <c r="AC3" s="25"/>
    </row>
    <row r="4" spans="1:29" s="40" customFormat="1" ht="16.5">
      <c r="A4" s="26"/>
      <c r="B4" s="26"/>
      <c r="C4" s="162"/>
      <c r="D4" s="54"/>
      <c r="E4" s="25"/>
      <c r="F4" s="25"/>
      <c r="G4" s="25"/>
      <c r="H4" s="57"/>
      <c r="I4" s="25"/>
      <c r="J4" s="25"/>
      <c r="K4" s="25"/>
      <c r="L4" s="57"/>
      <c r="M4" s="25"/>
      <c r="N4" s="25"/>
      <c r="O4" s="25"/>
      <c r="P4" s="57"/>
      <c r="Q4" s="25"/>
      <c r="R4" s="25"/>
      <c r="S4" s="25"/>
      <c r="T4" s="57"/>
      <c r="U4" s="25"/>
      <c r="V4" s="25"/>
      <c r="W4" s="25"/>
      <c r="X4" s="57"/>
      <c r="Z4" s="70"/>
      <c r="AA4" s="41"/>
      <c r="AB4" s="121"/>
      <c r="AC4" s="25"/>
    </row>
    <row r="5" spans="1:29" s="31" customFormat="1" ht="15.75" customHeight="1">
      <c r="A5" s="209" t="s">
        <v>0</v>
      </c>
      <c r="B5" s="210"/>
      <c r="C5" s="156" t="s">
        <v>39</v>
      </c>
      <c r="D5" s="55"/>
      <c r="E5" s="27" t="s">
        <v>1</v>
      </c>
      <c r="F5" s="211" t="s">
        <v>2</v>
      </c>
      <c r="G5" s="212"/>
      <c r="H5" s="94"/>
      <c r="I5" s="27" t="s">
        <v>3</v>
      </c>
      <c r="J5" s="211" t="s">
        <v>2</v>
      </c>
      <c r="K5" s="212"/>
      <c r="L5" s="94"/>
      <c r="M5" s="27" t="s">
        <v>4</v>
      </c>
      <c r="N5" s="211" t="s">
        <v>2</v>
      </c>
      <c r="O5" s="212"/>
      <c r="P5" s="94"/>
      <c r="Q5" s="27" t="s">
        <v>5</v>
      </c>
      <c r="R5" s="211" t="s">
        <v>2</v>
      </c>
      <c r="S5" s="212"/>
      <c r="T5" s="94"/>
      <c r="U5" s="27" t="s">
        <v>6</v>
      </c>
      <c r="V5" s="211" t="s">
        <v>2</v>
      </c>
      <c r="W5" s="212"/>
      <c r="X5" s="104"/>
      <c r="Y5" s="28" t="s">
        <v>7</v>
      </c>
      <c r="Z5" s="71"/>
      <c r="AA5" s="29" t="s">
        <v>40</v>
      </c>
      <c r="AB5" s="52" t="s">
        <v>42</v>
      </c>
      <c r="AC5" s="30" t="s">
        <v>7</v>
      </c>
    </row>
    <row r="6" spans="1:29" s="31" customFormat="1" ht="15.75" customHeight="1" thickBot="1">
      <c r="A6" s="213" t="s">
        <v>9</v>
      </c>
      <c r="B6" s="214"/>
      <c r="C6" s="157"/>
      <c r="D6" s="56"/>
      <c r="E6" s="32" t="s">
        <v>10</v>
      </c>
      <c r="F6" s="211" t="s">
        <v>11</v>
      </c>
      <c r="G6" s="212"/>
      <c r="H6" s="95"/>
      <c r="I6" s="32" t="s">
        <v>10</v>
      </c>
      <c r="J6" s="215" t="s">
        <v>11</v>
      </c>
      <c r="K6" s="216"/>
      <c r="L6" s="95"/>
      <c r="M6" s="32" t="s">
        <v>10</v>
      </c>
      <c r="N6" s="215" t="s">
        <v>11</v>
      </c>
      <c r="O6" s="216"/>
      <c r="P6" s="95"/>
      <c r="Q6" s="32" t="s">
        <v>10</v>
      </c>
      <c r="R6" s="215" t="s">
        <v>11</v>
      </c>
      <c r="S6" s="216"/>
      <c r="T6" s="95"/>
      <c r="U6" s="32" t="s">
        <v>10</v>
      </c>
      <c r="V6" s="215" t="s">
        <v>11</v>
      </c>
      <c r="W6" s="216"/>
      <c r="X6" s="84"/>
      <c r="Y6" s="33" t="s">
        <v>10</v>
      </c>
      <c r="Z6" s="72"/>
      <c r="AA6" s="34" t="s">
        <v>41</v>
      </c>
      <c r="AB6" s="53" t="s">
        <v>43</v>
      </c>
      <c r="AC6" s="35" t="s">
        <v>12</v>
      </c>
    </row>
    <row r="7" spans="1:29" s="38" customFormat="1" ht="42" customHeight="1">
      <c r="A7" s="217" t="s">
        <v>249</v>
      </c>
      <c r="B7" s="218"/>
      <c r="C7" s="158">
        <f>SUM(C8:C10)</f>
        <v>119</v>
      </c>
      <c r="D7" s="62"/>
      <c r="E7" s="63">
        <f>SUM(E8:E10)</f>
        <v>545</v>
      </c>
      <c r="F7" s="46">
        <f>E27</f>
        <v>510</v>
      </c>
      <c r="G7" s="64" t="str">
        <f>A27</f>
        <v>Näpi Saeveski 2</v>
      </c>
      <c r="H7" s="96"/>
      <c r="I7" s="49">
        <f>SUM(I8:I10)</f>
        <v>534</v>
      </c>
      <c r="J7" s="49">
        <f>I23</f>
        <v>519</v>
      </c>
      <c r="K7" s="42" t="str">
        <f>A23</f>
        <v>RT EHITUS</v>
      </c>
      <c r="L7" s="100"/>
      <c r="M7" s="45">
        <f>SUM(M8:M10)</f>
        <v>533</v>
      </c>
      <c r="N7" s="45">
        <f>M19</f>
        <v>605</v>
      </c>
      <c r="O7" s="42" t="str">
        <f>A19</f>
        <v>TELFER GRUPP</v>
      </c>
      <c r="P7" s="100"/>
      <c r="Q7" s="45">
        <f>SUM(Q8:Q10)</f>
        <v>528</v>
      </c>
      <c r="R7" s="45">
        <f>Q15</f>
        <v>466</v>
      </c>
      <c r="S7" s="42" t="str">
        <f>A15</f>
        <v>Wiru Ehitus</v>
      </c>
      <c r="T7" s="100"/>
      <c r="U7" s="45">
        <f>SUM(U8:U10)</f>
        <v>593</v>
      </c>
      <c r="V7" s="45">
        <f>U11</f>
        <v>584</v>
      </c>
      <c r="W7" s="42" t="str">
        <f>A11</f>
        <v>AKAT 1</v>
      </c>
      <c r="X7" s="105">
        <f>Y7-5*C7</f>
        <v>2138</v>
      </c>
      <c r="Y7" s="36">
        <f aca="true" t="shared" si="0" ref="Y7:Y30">E7+I7+M7+Q7+U7</f>
        <v>2733</v>
      </c>
      <c r="Z7" s="73">
        <f aca="true" t="shared" si="1" ref="Z7:Z30">Y7-5*C7</f>
        <v>2138</v>
      </c>
      <c r="AA7" s="37">
        <f>AVERAGE(AA8,AA9,AA10)</f>
        <v>182.20000000000002</v>
      </c>
      <c r="AB7" s="65">
        <f>AVERAGE(AB8,AB9,AB10)</f>
        <v>142.53333333333333</v>
      </c>
      <c r="AC7" s="219">
        <f>F8+J8+N8+R8+V8</f>
        <v>4</v>
      </c>
    </row>
    <row r="8" spans="1:29" s="38" customFormat="1" ht="15.75">
      <c r="A8" s="222" t="s">
        <v>250</v>
      </c>
      <c r="B8" s="223"/>
      <c r="C8" s="159">
        <v>36</v>
      </c>
      <c r="D8" s="59">
        <v>155</v>
      </c>
      <c r="E8" s="50">
        <f>C8+D8</f>
        <v>191</v>
      </c>
      <c r="F8" s="224">
        <v>1</v>
      </c>
      <c r="G8" s="225"/>
      <c r="H8" s="97">
        <v>128</v>
      </c>
      <c r="I8" s="46">
        <f>H8+C8</f>
        <v>164</v>
      </c>
      <c r="J8" s="224">
        <v>1</v>
      </c>
      <c r="K8" s="225"/>
      <c r="L8" s="97">
        <v>116</v>
      </c>
      <c r="M8" s="50">
        <f>L8+C8</f>
        <v>152</v>
      </c>
      <c r="N8" s="224">
        <v>0</v>
      </c>
      <c r="O8" s="225"/>
      <c r="P8" s="97">
        <v>140</v>
      </c>
      <c r="Q8" s="50">
        <f>P8+C8</f>
        <v>176</v>
      </c>
      <c r="R8" s="224">
        <v>1</v>
      </c>
      <c r="S8" s="225"/>
      <c r="T8" s="97">
        <v>150</v>
      </c>
      <c r="U8" s="50">
        <f>T8+C8</f>
        <v>186</v>
      </c>
      <c r="V8" s="224">
        <v>1</v>
      </c>
      <c r="W8" s="225"/>
      <c r="X8" s="106">
        <f>D8+H8+L8+P8+T8</f>
        <v>689</v>
      </c>
      <c r="Y8" s="46">
        <f t="shared" si="0"/>
        <v>869</v>
      </c>
      <c r="Z8" s="73">
        <f t="shared" si="1"/>
        <v>689</v>
      </c>
      <c r="AA8" s="67">
        <f>AVERAGE(E8,I8,M8,Q8,U8)</f>
        <v>173.8</v>
      </c>
      <c r="AB8" s="67">
        <f>AVERAGE(E8,I8,M8,Q8,U8)-C8</f>
        <v>137.8</v>
      </c>
      <c r="AC8" s="220"/>
    </row>
    <row r="9" spans="1:29" s="38" customFormat="1" ht="15.75">
      <c r="A9" s="222" t="s">
        <v>251</v>
      </c>
      <c r="B9" s="223"/>
      <c r="C9" s="159">
        <v>60</v>
      </c>
      <c r="D9" s="59">
        <v>113</v>
      </c>
      <c r="E9" s="50">
        <f>D9+C9</f>
        <v>173</v>
      </c>
      <c r="F9" s="226"/>
      <c r="G9" s="227"/>
      <c r="H9" s="98">
        <v>142</v>
      </c>
      <c r="I9" s="46">
        <f>H9+C9</f>
        <v>202</v>
      </c>
      <c r="J9" s="226"/>
      <c r="K9" s="227"/>
      <c r="L9" s="98">
        <v>148</v>
      </c>
      <c r="M9" s="50">
        <f>L9+C9</f>
        <v>208</v>
      </c>
      <c r="N9" s="226"/>
      <c r="O9" s="227"/>
      <c r="P9" s="98">
        <v>123</v>
      </c>
      <c r="Q9" s="50">
        <f>P9+C9</f>
        <v>183</v>
      </c>
      <c r="R9" s="226"/>
      <c r="S9" s="227"/>
      <c r="T9" s="98">
        <v>150</v>
      </c>
      <c r="U9" s="50">
        <f>T9+C9</f>
        <v>210</v>
      </c>
      <c r="V9" s="226"/>
      <c r="W9" s="227"/>
      <c r="X9" s="106">
        <f>D9+H9+L9+P9+T9</f>
        <v>676</v>
      </c>
      <c r="Y9" s="46">
        <f t="shared" si="0"/>
        <v>976</v>
      </c>
      <c r="Z9" s="73">
        <f t="shared" si="1"/>
        <v>676</v>
      </c>
      <c r="AA9" s="67">
        <f>AVERAGE(E9,I9,M9,Q9,U9)</f>
        <v>195.2</v>
      </c>
      <c r="AB9" s="67">
        <f>AVERAGE(E9,I9,M9,Q9,U9)-C9</f>
        <v>135.2</v>
      </c>
      <c r="AC9" s="220"/>
    </row>
    <row r="10" spans="1:29" s="38" customFormat="1" ht="16.5" thickBot="1">
      <c r="A10" s="229" t="s">
        <v>252</v>
      </c>
      <c r="B10" s="230"/>
      <c r="C10" s="160">
        <v>23</v>
      </c>
      <c r="D10" s="60">
        <v>158</v>
      </c>
      <c r="E10" s="47">
        <f>D10+C10</f>
        <v>181</v>
      </c>
      <c r="F10" s="204"/>
      <c r="G10" s="228"/>
      <c r="H10" s="99">
        <v>145</v>
      </c>
      <c r="I10" s="46">
        <f>H10+C10</f>
        <v>168</v>
      </c>
      <c r="J10" s="204"/>
      <c r="K10" s="228"/>
      <c r="L10" s="99">
        <v>150</v>
      </c>
      <c r="M10" s="50">
        <f>L10+C10</f>
        <v>173</v>
      </c>
      <c r="N10" s="204"/>
      <c r="O10" s="228"/>
      <c r="P10" s="99">
        <v>146</v>
      </c>
      <c r="Q10" s="50">
        <f>P10+C10</f>
        <v>169</v>
      </c>
      <c r="R10" s="204"/>
      <c r="S10" s="228"/>
      <c r="T10" s="99">
        <v>174</v>
      </c>
      <c r="U10" s="50">
        <f>T10+C10</f>
        <v>197</v>
      </c>
      <c r="V10" s="204"/>
      <c r="W10" s="228"/>
      <c r="X10" s="107">
        <f>D10+H10+L10+P10+T10</f>
        <v>773</v>
      </c>
      <c r="Y10" s="47">
        <f t="shared" si="0"/>
        <v>888</v>
      </c>
      <c r="Z10" s="74">
        <f t="shared" si="1"/>
        <v>773</v>
      </c>
      <c r="AA10" s="68">
        <f>AVERAGE(E10,I10,M10,Q10,U10)</f>
        <v>177.6</v>
      </c>
      <c r="AB10" s="68">
        <f>AVERAGE(E10,I10,M10,Q10,U10)-C10</f>
        <v>154.6</v>
      </c>
      <c r="AC10" s="221"/>
    </row>
    <row r="11" spans="1:29" s="38" customFormat="1" ht="41.25" customHeight="1">
      <c r="A11" s="217" t="s">
        <v>233</v>
      </c>
      <c r="B11" s="218"/>
      <c r="C11" s="158">
        <f>SUM(C12:C14)</f>
        <v>97</v>
      </c>
      <c r="D11" s="62"/>
      <c r="E11" s="45">
        <f>SUM(E12:E14)</f>
        <v>577</v>
      </c>
      <c r="F11" s="45">
        <f>E23</f>
        <v>591</v>
      </c>
      <c r="G11" s="42" t="str">
        <f>A23</f>
        <v>RT EHITUS</v>
      </c>
      <c r="H11" s="100"/>
      <c r="I11" s="45">
        <f>SUM(I12:I14)</f>
        <v>493</v>
      </c>
      <c r="J11" s="46">
        <f>I19</f>
        <v>591</v>
      </c>
      <c r="K11" s="42" t="str">
        <f>A19</f>
        <v>TELFER GRUPP</v>
      </c>
      <c r="L11" s="102"/>
      <c r="M11" s="49">
        <f>SUM(M12:M14)</f>
        <v>523</v>
      </c>
      <c r="N11" s="45">
        <f>M15</f>
        <v>588</v>
      </c>
      <c r="O11" s="42" t="str">
        <f>A15</f>
        <v>Wiru Ehitus</v>
      </c>
      <c r="P11" s="102"/>
      <c r="Q11" s="49">
        <f>SUM(Q12:Q14)</f>
        <v>548</v>
      </c>
      <c r="R11" s="45">
        <f>Q27</f>
        <v>555</v>
      </c>
      <c r="S11" s="42" t="str">
        <f>A27</f>
        <v>Näpi Saeveski 2</v>
      </c>
      <c r="T11" s="102"/>
      <c r="U11" s="49">
        <f>SUM(U12:U14)</f>
        <v>584</v>
      </c>
      <c r="V11" s="45">
        <f>U7</f>
        <v>593</v>
      </c>
      <c r="W11" s="42" t="str">
        <f>A7</f>
        <v>Rakvere Soojus</v>
      </c>
      <c r="X11" s="105">
        <f>Y11-5*C11</f>
        <v>2240</v>
      </c>
      <c r="Y11" s="36">
        <f t="shared" si="0"/>
        <v>2725</v>
      </c>
      <c r="Z11" s="75">
        <f t="shared" si="1"/>
        <v>2240</v>
      </c>
      <c r="AA11" s="37">
        <f>AVERAGE(AA12,AA13,AA14)</f>
        <v>181.66666666666666</v>
      </c>
      <c r="AB11" s="37">
        <f>AVERAGE(AB12,AB13,AB14)</f>
        <v>149.33333333333334</v>
      </c>
      <c r="AC11" s="220">
        <f>F12+J12+N12+R12+V12</f>
        <v>0</v>
      </c>
    </row>
    <row r="12" spans="1:29" s="38" customFormat="1" ht="15.75" customHeight="1">
      <c r="A12" s="222" t="s">
        <v>234</v>
      </c>
      <c r="B12" s="223"/>
      <c r="C12" s="159">
        <v>30</v>
      </c>
      <c r="D12" s="59">
        <v>158</v>
      </c>
      <c r="E12" s="50">
        <f>C12+D12</f>
        <v>188</v>
      </c>
      <c r="F12" s="224">
        <v>0</v>
      </c>
      <c r="G12" s="225"/>
      <c r="H12" s="97">
        <v>152</v>
      </c>
      <c r="I12" s="46">
        <f>H12+C12</f>
        <v>182</v>
      </c>
      <c r="J12" s="224">
        <v>0</v>
      </c>
      <c r="K12" s="225"/>
      <c r="L12" s="97">
        <v>133</v>
      </c>
      <c r="M12" s="50">
        <f>L12+C12</f>
        <v>163</v>
      </c>
      <c r="N12" s="224">
        <v>0</v>
      </c>
      <c r="O12" s="225"/>
      <c r="P12" s="97">
        <v>157</v>
      </c>
      <c r="Q12" s="50">
        <f>P12+C12</f>
        <v>187</v>
      </c>
      <c r="R12" s="224">
        <v>0</v>
      </c>
      <c r="S12" s="225"/>
      <c r="T12" s="97">
        <v>165</v>
      </c>
      <c r="U12" s="50">
        <f>T12+C12</f>
        <v>195</v>
      </c>
      <c r="V12" s="224">
        <v>0</v>
      </c>
      <c r="W12" s="225"/>
      <c r="X12" s="106">
        <f>D12+H12+L12+P12+T12</f>
        <v>765</v>
      </c>
      <c r="Y12" s="46">
        <f t="shared" si="0"/>
        <v>915</v>
      </c>
      <c r="Z12" s="73">
        <f t="shared" si="1"/>
        <v>765</v>
      </c>
      <c r="AA12" s="67">
        <f>AVERAGE(E12,I12,M12,Q12,U12)</f>
        <v>183</v>
      </c>
      <c r="AB12" s="67">
        <f>AVERAGE(E12,I12,M12,Q12,U12)-C12</f>
        <v>153</v>
      </c>
      <c r="AC12" s="220"/>
    </row>
    <row r="13" spans="1:29" s="38" customFormat="1" ht="15.75" customHeight="1">
      <c r="A13" s="222" t="s">
        <v>235</v>
      </c>
      <c r="B13" s="223"/>
      <c r="C13" s="159">
        <v>60</v>
      </c>
      <c r="D13" s="59">
        <v>132</v>
      </c>
      <c r="E13" s="50">
        <f>D13+C13</f>
        <v>192</v>
      </c>
      <c r="F13" s="226"/>
      <c r="G13" s="227"/>
      <c r="H13" s="98">
        <v>104</v>
      </c>
      <c r="I13" s="46">
        <f>H13+C13</f>
        <v>164</v>
      </c>
      <c r="J13" s="226"/>
      <c r="K13" s="227"/>
      <c r="L13" s="98">
        <v>155</v>
      </c>
      <c r="M13" s="50">
        <f>L13+C13</f>
        <v>215</v>
      </c>
      <c r="N13" s="226"/>
      <c r="O13" s="227"/>
      <c r="P13" s="98">
        <v>147</v>
      </c>
      <c r="Q13" s="50">
        <f>P13+C13</f>
        <v>207</v>
      </c>
      <c r="R13" s="226"/>
      <c r="S13" s="227"/>
      <c r="T13" s="98">
        <v>173</v>
      </c>
      <c r="U13" s="50">
        <f>T13+C13</f>
        <v>233</v>
      </c>
      <c r="V13" s="226"/>
      <c r="W13" s="227"/>
      <c r="X13" s="106">
        <f>D13+H13+L13+P13+T13</f>
        <v>711</v>
      </c>
      <c r="Y13" s="46">
        <f t="shared" si="0"/>
        <v>1011</v>
      </c>
      <c r="Z13" s="73">
        <f t="shared" si="1"/>
        <v>711</v>
      </c>
      <c r="AA13" s="67">
        <f>AVERAGE(E13,I13,M13,Q13,U13)</f>
        <v>202.2</v>
      </c>
      <c r="AB13" s="67">
        <f>AVERAGE(E13,I13,M13,Q13,U13)-C13</f>
        <v>142.2</v>
      </c>
      <c r="AC13" s="220"/>
    </row>
    <row r="14" spans="1:29" s="38" customFormat="1" ht="15.75" customHeight="1" thickBot="1">
      <c r="A14" s="229" t="s">
        <v>236</v>
      </c>
      <c r="B14" s="230"/>
      <c r="C14" s="160">
        <v>7</v>
      </c>
      <c r="D14" s="60">
        <v>190</v>
      </c>
      <c r="E14" s="47">
        <f>D14+C14</f>
        <v>197</v>
      </c>
      <c r="F14" s="204"/>
      <c r="G14" s="228"/>
      <c r="H14" s="99">
        <v>140</v>
      </c>
      <c r="I14" s="46">
        <f>H14+C14</f>
        <v>147</v>
      </c>
      <c r="J14" s="204"/>
      <c r="K14" s="228"/>
      <c r="L14" s="99">
        <v>138</v>
      </c>
      <c r="M14" s="50">
        <f>L14+C14</f>
        <v>145</v>
      </c>
      <c r="N14" s="204"/>
      <c r="O14" s="228"/>
      <c r="P14" s="99">
        <v>147</v>
      </c>
      <c r="Q14" s="50">
        <f>P14+C14</f>
        <v>154</v>
      </c>
      <c r="R14" s="204"/>
      <c r="S14" s="228"/>
      <c r="T14" s="99">
        <v>149</v>
      </c>
      <c r="U14" s="50">
        <f>T14+C14</f>
        <v>156</v>
      </c>
      <c r="V14" s="204"/>
      <c r="W14" s="228"/>
      <c r="X14" s="107">
        <f>D14+H14+L14+P14+T14</f>
        <v>764</v>
      </c>
      <c r="Y14" s="47">
        <f t="shared" si="0"/>
        <v>799</v>
      </c>
      <c r="Z14" s="74">
        <f t="shared" si="1"/>
        <v>764</v>
      </c>
      <c r="AA14" s="68">
        <f>AVERAGE(E14,I14,M14,Q14,U14)</f>
        <v>159.8</v>
      </c>
      <c r="AB14" s="68">
        <f>AVERAGE(E14,I14,M14,Q14,U14)-C14</f>
        <v>152.8</v>
      </c>
      <c r="AC14" s="221"/>
    </row>
    <row r="15" spans="1:29" s="38" customFormat="1" ht="47.25" customHeight="1">
      <c r="A15" s="217" t="s">
        <v>237</v>
      </c>
      <c r="B15" s="218"/>
      <c r="C15" s="158">
        <f>SUM(C16:C18)</f>
        <v>172</v>
      </c>
      <c r="D15" s="62"/>
      <c r="E15" s="45">
        <f>SUM(E16:E18)</f>
        <v>484</v>
      </c>
      <c r="F15" s="45">
        <f>E19</f>
        <v>553</v>
      </c>
      <c r="G15" s="42" t="str">
        <f>A19</f>
        <v>TELFER GRUPP</v>
      </c>
      <c r="H15" s="100"/>
      <c r="I15" s="45">
        <f>SUM(I16:I18)</f>
        <v>489</v>
      </c>
      <c r="J15" s="45">
        <f>I27</f>
        <v>469</v>
      </c>
      <c r="K15" s="42" t="str">
        <f>A27</f>
        <v>Näpi Saeveski 2</v>
      </c>
      <c r="L15" s="103"/>
      <c r="M15" s="69">
        <f>SUM(M16:M18)</f>
        <v>588</v>
      </c>
      <c r="N15" s="45">
        <f>M11</f>
        <v>523</v>
      </c>
      <c r="O15" s="42" t="str">
        <f>A11</f>
        <v>AKAT 1</v>
      </c>
      <c r="P15" s="103"/>
      <c r="Q15" s="69">
        <f>SUM(Q16:Q18)</f>
        <v>466</v>
      </c>
      <c r="R15" s="45">
        <f>Q7</f>
        <v>528</v>
      </c>
      <c r="S15" s="42" t="str">
        <f>A7</f>
        <v>Rakvere Soojus</v>
      </c>
      <c r="T15" s="103"/>
      <c r="U15" s="69">
        <f>SUM(U16:U18)</f>
        <v>499</v>
      </c>
      <c r="V15" s="45">
        <f>U23</f>
        <v>548</v>
      </c>
      <c r="W15" s="42" t="str">
        <f>A23</f>
        <v>RT EHITUS</v>
      </c>
      <c r="X15" s="105">
        <f>Y15-5*C15</f>
        <v>1666</v>
      </c>
      <c r="Y15" s="36">
        <f t="shared" si="0"/>
        <v>2526</v>
      </c>
      <c r="Z15" s="75">
        <f t="shared" si="1"/>
        <v>1666</v>
      </c>
      <c r="AA15" s="37">
        <f>AVERAGE(AA16,AA17,AA18)</f>
        <v>168.4</v>
      </c>
      <c r="AB15" s="37">
        <f>AVERAGE(AB16,AB17,AB18)</f>
        <v>111.06666666666668</v>
      </c>
      <c r="AC15" s="219">
        <f>F16+J16+N16+R16+V16</f>
        <v>2</v>
      </c>
    </row>
    <row r="16" spans="1:29" s="38" customFormat="1" ht="15.75" customHeight="1">
      <c r="A16" s="222" t="s">
        <v>238</v>
      </c>
      <c r="B16" s="223"/>
      <c r="C16" s="159">
        <v>52</v>
      </c>
      <c r="D16" s="59">
        <v>95</v>
      </c>
      <c r="E16" s="50">
        <f>C16+D16</f>
        <v>147</v>
      </c>
      <c r="F16" s="224">
        <v>0</v>
      </c>
      <c r="G16" s="225"/>
      <c r="H16" s="97">
        <v>123</v>
      </c>
      <c r="I16" s="46">
        <f>H16+C16</f>
        <v>175</v>
      </c>
      <c r="J16" s="224">
        <v>1</v>
      </c>
      <c r="K16" s="225"/>
      <c r="L16" s="97">
        <v>168</v>
      </c>
      <c r="M16" s="50">
        <f>L16+C16</f>
        <v>220</v>
      </c>
      <c r="N16" s="224">
        <v>1</v>
      </c>
      <c r="O16" s="225"/>
      <c r="P16" s="97">
        <v>123</v>
      </c>
      <c r="Q16" s="50">
        <f>P16+C16</f>
        <v>175</v>
      </c>
      <c r="R16" s="224">
        <v>0</v>
      </c>
      <c r="S16" s="225"/>
      <c r="T16" s="97">
        <v>125</v>
      </c>
      <c r="U16" s="50">
        <f>T16+C16</f>
        <v>177</v>
      </c>
      <c r="V16" s="224">
        <v>0</v>
      </c>
      <c r="W16" s="225"/>
      <c r="X16" s="106">
        <f>D16+H16+L16+P16+T16</f>
        <v>634</v>
      </c>
      <c r="Y16" s="46">
        <f t="shared" si="0"/>
        <v>894</v>
      </c>
      <c r="Z16" s="73">
        <f t="shared" si="1"/>
        <v>634</v>
      </c>
      <c r="AA16" s="67">
        <f>AVERAGE(E16,I16,M16,Q16,U16)</f>
        <v>178.8</v>
      </c>
      <c r="AB16" s="67">
        <f>AVERAGE(E16,I16,M16,Q16,U16)-C16</f>
        <v>126.80000000000001</v>
      </c>
      <c r="AC16" s="220"/>
    </row>
    <row r="17" spans="1:29" s="38" customFormat="1" ht="15.75" customHeight="1">
      <c r="A17" s="222" t="s">
        <v>239</v>
      </c>
      <c r="B17" s="223"/>
      <c r="C17" s="159">
        <v>60</v>
      </c>
      <c r="D17" s="59">
        <v>117</v>
      </c>
      <c r="E17" s="50">
        <f>D17+C17</f>
        <v>177</v>
      </c>
      <c r="F17" s="226"/>
      <c r="G17" s="227"/>
      <c r="H17" s="98">
        <v>96</v>
      </c>
      <c r="I17" s="46">
        <f>H17+C17</f>
        <v>156</v>
      </c>
      <c r="J17" s="226"/>
      <c r="K17" s="227"/>
      <c r="L17" s="98">
        <v>122</v>
      </c>
      <c r="M17" s="50">
        <f>L17+C17</f>
        <v>182</v>
      </c>
      <c r="N17" s="226"/>
      <c r="O17" s="227"/>
      <c r="P17" s="98">
        <v>78</v>
      </c>
      <c r="Q17" s="50">
        <f>P17+C17</f>
        <v>138</v>
      </c>
      <c r="R17" s="226"/>
      <c r="S17" s="227"/>
      <c r="T17" s="98">
        <v>92</v>
      </c>
      <c r="U17" s="50">
        <f>T17+C17</f>
        <v>152</v>
      </c>
      <c r="V17" s="226"/>
      <c r="W17" s="227"/>
      <c r="X17" s="106">
        <f>D17+H17+L17+P17+T17</f>
        <v>505</v>
      </c>
      <c r="Y17" s="46">
        <f t="shared" si="0"/>
        <v>805</v>
      </c>
      <c r="Z17" s="73">
        <f t="shared" si="1"/>
        <v>505</v>
      </c>
      <c r="AA17" s="67">
        <f>AVERAGE(E17,I17,M17,Q17,U17)</f>
        <v>161</v>
      </c>
      <c r="AB17" s="67">
        <f>AVERAGE(E17,I17,M17,Q17,U17)-C17</f>
        <v>101</v>
      </c>
      <c r="AC17" s="220"/>
    </row>
    <row r="18" spans="1:29" s="38" customFormat="1" ht="15.75" customHeight="1" thickBot="1">
      <c r="A18" s="229" t="s">
        <v>240</v>
      </c>
      <c r="B18" s="230"/>
      <c r="C18" s="160">
        <v>60</v>
      </c>
      <c r="D18" s="60">
        <v>100</v>
      </c>
      <c r="E18" s="47">
        <f>D18+C18</f>
        <v>160</v>
      </c>
      <c r="F18" s="204"/>
      <c r="G18" s="228"/>
      <c r="H18" s="99">
        <v>98</v>
      </c>
      <c r="I18" s="46">
        <f>H18+C18</f>
        <v>158</v>
      </c>
      <c r="J18" s="204"/>
      <c r="K18" s="228"/>
      <c r="L18" s="99">
        <v>126</v>
      </c>
      <c r="M18" s="50">
        <f>L18+C18</f>
        <v>186</v>
      </c>
      <c r="N18" s="204"/>
      <c r="O18" s="228"/>
      <c r="P18" s="99">
        <v>93</v>
      </c>
      <c r="Q18" s="50">
        <f>P18+C18</f>
        <v>153</v>
      </c>
      <c r="R18" s="204"/>
      <c r="S18" s="228"/>
      <c r="T18" s="99">
        <v>110</v>
      </c>
      <c r="U18" s="50">
        <f>T18+C18</f>
        <v>170</v>
      </c>
      <c r="V18" s="204"/>
      <c r="W18" s="228"/>
      <c r="X18" s="107">
        <f>D18+H18+L18+P18+T18</f>
        <v>527</v>
      </c>
      <c r="Y18" s="47">
        <f t="shared" si="0"/>
        <v>827</v>
      </c>
      <c r="Z18" s="74">
        <f t="shared" si="1"/>
        <v>527</v>
      </c>
      <c r="AA18" s="68">
        <f>AVERAGE(E18,I18,M18,Q18,U18)</f>
        <v>165.4</v>
      </c>
      <c r="AB18" s="68">
        <f>AVERAGE(E18,I18,M18,Q18,U18)-C18</f>
        <v>105.4</v>
      </c>
      <c r="AC18" s="221"/>
    </row>
    <row r="19" spans="1:29" s="38" customFormat="1" ht="39" customHeight="1">
      <c r="A19" s="217" t="s">
        <v>245</v>
      </c>
      <c r="B19" s="218"/>
      <c r="C19" s="158">
        <f>SUM(C20:C22)</f>
        <v>141</v>
      </c>
      <c r="D19" s="92"/>
      <c r="E19" s="48">
        <f>SUM(E20:E22)</f>
        <v>553</v>
      </c>
      <c r="F19" s="48">
        <f>E15</f>
        <v>484</v>
      </c>
      <c r="G19" s="43" t="str">
        <f>A15</f>
        <v>Wiru Ehitus</v>
      </c>
      <c r="H19" s="101"/>
      <c r="I19" s="48">
        <f>SUM(I20:I22)</f>
        <v>591</v>
      </c>
      <c r="J19" s="48">
        <f>I11</f>
        <v>493</v>
      </c>
      <c r="K19" s="43" t="str">
        <f>A11</f>
        <v>AKAT 1</v>
      </c>
      <c r="L19" s="96"/>
      <c r="M19" s="49">
        <f>SUM(M20:M22)</f>
        <v>605</v>
      </c>
      <c r="N19" s="48">
        <f>M7</f>
        <v>533</v>
      </c>
      <c r="O19" s="43" t="str">
        <f>A7</f>
        <v>Rakvere Soojus</v>
      </c>
      <c r="P19" s="96"/>
      <c r="Q19" s="49">
        <f>SUM(Q20:Q22)</f>
        <v>596</v>
      </c>
      <c r="R19" s="48">
        <f>Q23</f>
        <v>470</v>
      </c>
      <c r="S19" s="43" t="str">
        <f>A23</f>
        <v>RT EHITUS</v>
      </c>
      <c r="T19" s="96"/>
      <c r="U19" s="49">
        <f>SUM(U20:U22)</f>
        <v>653</v>
      </c>
      <c r="V19" s="48">
        <f>U27</f>
        <v>464</v>
      </c>
      <c r="W19" s="43" t="str">
        <f>A27</f>
        <v>Näpi Saeveski 2</v>
      </c>
      <c r="X19" s="105">
        <f>Y19-5*C19</f>
        <v>2293</v>
      </c>
      <c r="Y19" s="36">
        <f t="shared" si="0"/>
        <v>2998</v>
      </c>
      <c r="Z19" s="75">
        <f t="shared" si="1"/>
        <v>2293</v>
      </c>
      <c r="AA19" s="37">
        <f>AVERAGE(AA20,AA21,AA22)</f>
        <v>199.86666666666667</v>
      </c>
      <c r="AB19" s="37">
        <f>AVERAGE(AB20,AB21,AB22)</f>
        <v>152.86666666666667</v>
      </c>
      <c r="AC19" s="219">
        <f>F20+J20+N20+R20+V20</f>
        <v>5</v>
      </c>
    </row>
    <row r="20" spans="1:29" s="38" customFormat="1" ht="15.75" customHeight="1">
      <c r="A20" s="222" t="s">
        <v>246</v>
      </c>
      <c r="B20" s="223"/>
      <c r="C20" s="159">
        <v>21</v>
      </c>
      <c r="D20" s="59">
        <v>162</v>
      </c>
      <c r="E20" s="50">
        <f>C20+D20</f>
        <v>183</v>
      </c>
      <c r="F20" s="224">
        <v>1</v>
      </c>
      <c r="G20" s="225"/>
      <c r="H20" s="97">
        <v>179</v>
      </c>
      <c r="I20" s="46">
        <f>H20+C20</f>
        <v>200</v>
      </c>
      <c r="J20" s="224">
        <v>1</v>
      </c>
      <c r="K20" s="225"/>
      <c r="L20" s="97">
        <v>142</v>
      </c>
      <c r="M20" s="50">
        <f>L20+C20</f>
        <v>163</v>
      </c>
      <c r="N20" s="224">
        <v>1</v>
      </c>
      <c r="O20" s="225"/>
      <c r="P20" s="97">
        <v>183</v>
      </c>
      <c r="Q20" s="50">
        <f>P20+C20</f>
        <v>204</v>
      </c>
      <c r="R20" s="224">
        <v>1</v>
      </c>
      <c r="S20" s="225"/>
      <c r="T20" s="97">
        <v>194</v>
      </c>
      <c r="U20" s="50">
        <f>T20+C20</f>
        <v>215</v>
      </c>
      <c r="V20" s="224">
        <v>1</v>
      </c>
      <c r="W20" s="225"/>
      <c r="X20" s="106">
        <f>D20+H20+L20+P20+T20</f>
        <v>860</v>
      </c>
      <c r="Y20" s="46">
        <f t="shared" si="0"/>
        <v>965</v>
      </c>
      <c r="Z20" s="73">
        <f t="shared" si="1"/>
        <v>860</v>
      </c>
      <c r="AA20" s="67">
        <f>AVERAGE(E20,I20,M20,Q20,U20)</f>
        <v>193</v>
      </c>
      <c r="AB20" s="67">
        <f>AVERAGE(E20,I20,M20,Q20,U20)-C20</f>
        <v>172</v>
      </c>
      <c r="AC20" s="220"/>
    </row>
    <row r="21" spans="1:29" s="38" customFormat="1" ht="15.75" customHeight="1">
      <c r="A21" s="222" t="s">
        <v>247</v>
      </c>
      <c r="B21" s="223"/>
      <c r="C21" s="159">
        <v>60</v>
      </c>
      <c r="D21" s="59">
        <v>100</v>
      </c>
      <c r="E21" s="50">
        <f>D21+C21</f>
        <v>160</v>
      </c>
      <c r="F21" s="226"/>
      <c r="G21" s="227"/>
      <c r="H21" s="98">
        <v>107</v>
      </c>
      <c r="I21" s="46">
        <f>H21+C21</f>
        <v>167</v>
      </c>
      <c r="J21" s="226"/>
      <c r="K21" s="227"/>
      <c r="L21" s="98">
        <v>143</v>
      </c>
      <c r="M21" s="50">
        <f>L21+C21</f>
        <v>203</v>
      </c>
      <c r="N21" s="226"/>
      <c r="O21" s="227"/>
      <c r="P21" s="98">
        <v>133</v>
      </c>
      <c r="Q21" s="50">
        <f>P21+C21</f>
        <v>193</v>
      </c>
      <c r="R21" s="226"/>
      <c r="S21" s="227"/>
      <c r="T21" s="98">
        <v>158</v>
      </c>
      <c r="U21" s="50">
        <f>T21+C21</f>
        <v>218</v>
      </c>
      <c r="V21" s="226"/>
      <c r="W21" s="227"/>
      <c r="X21" s="106">
        <f>D21+H21+L21+P21+T21</f>
        <v>641</v>
      </c>
      <c r="Y21" s="46">
        <f t="shared" si="0"/>
        <v>941</v>
      </c>
      <c r="Z21" s="73">
        <f t="shared" si="1"/>
        <v>641</v>
      </c>
      <c r="AA21" s="67">
        <f>AVERAGE(E21,I21,M21,Q21,U21)</f>
        <v>188.2</v>
      </c>
      <c r="AB21" s="67">
        <f>AVERAGE(E21,I21,M21,Q21,U21)-C21</f>
        <v>128.2</v>
      </c>
      <c r="AC21" s="220"/>
    </row>
    <row r="22" spans="1:30" s="38" customFormat="1" ht="15.75" customHeight="1" thickBot="1">
      <c r="A22" s="229" t="s">
        <v>248</v>
      </c>
      <c r="B22" s="230"/>
      <c r="C22" s="160">
        <v>60</v>
      </c>
      <c r="D22" s="60">
        <v>150</v>
      </c>
      <c r="E22" s="47">
        <f>D22+C22</f>
        <v>210</v>
      </c>
      <c r="F22" s="204"/>
      <c r="G22" s="228"/>
      <c r="H22" s="99">
        <v>164</v>
      </c>
      <c r="I22" s="46">
        <f>H22+C22</f>
        <v>224</v>
      </c>
      <c r="J22" s="204"/>
      <c r="K22" s="228"/>
      <c r="L22" s="99">
        <v>179</v>
      </c>
      <c r="M22" s="50">
        <f>L22+C22</f>
        <v>239</v>
      </c>
      <c r="N22" s="204"/>
      <c r="O22" s="228"/>
      <c r="P22" s="99">
        <v>139</v>
      </c>
      <c r="Q22" s="50">
        <f>P22+C22</f>
        <v>199</v>
      </c>
      <c r="R22" s="204"/>
      <c r="S22" s="228"/>
      <c r="T22" s="99">
        <v>160</v>
      </c>
      <c r="U22" s="50">
        <f>T22+C22</f>
        <v>220</v>
      </c>
      <c r="V22" s="204"/>
      <c r="W22" s="228"/>
      <c r="X22" s="107">
        <f>D22+H22+L22+P22+T22</f>
        <v>792</v>
      </c>
      <c r="Y22" s="47">
        <f t="shared" si="0"/>
        <v>1092</v>
      </c>
      <c r="Z22" s="74">
        <f t="shared" si="1"/>
        <v>792</v>
      </c>
      <c r="AA22" s="68">
        <f>AVERAGE(E22,I22,M22,Q22,U22)</f>
        <v>218.4</v>
      </c>
      <c r="AB22" s="68">
        <f>AVERAGE(E22,I22,M22,Q22,U22)-C22</f>
        <v>158.4</v>
      </c>
      <c r="AC22" s="221"/>
      <c r="AD22" s="44"/>
    </row>
    <row r="23" spans="1:29" s="38" customFormat="1" ht="40.5" customHeight="1">
      <c r="A23" s="217" t="s">
        <v>229</v>
      </c>
      <c r="B23" s="218"/>
      <c r="C23" s="158">
        <f>SUM(C24:C26)</f>
        <v>180</v>
      </c>
      <c r="D23" s="62"/>
      <c r="E23" s="45">
        <f>SUM(E24:E26)</f>
        <v>591</v>
      </c>
      <c r="F23" s="45">
        <f>E11</f>
        <v>577</v>
      </c>
      <c r="G23" s="42" t="str">
        <f>A11</f>
        <v>AKAT 1</v>
      </c>
      <c r="H23" s="100"/>
      <c r="I23" s="45">
        <f>SUM(I24:I26)</f>
        <v>519</v>
      </c>
      <c r="J23" s="45">
        <f>I7</f>
        <v>534</v>
      </c>
      <c r="K23" s="42" t="str">
        <f>A7</f>
        <v>Rakvere Soojus</v>
      </c>
      <c r="L23" s="103"/>
      <c r="M23" s="69">
        <f>SUM(M24:M26)</f>
        <v>529</v>
      </c>
      <c r="N23" s="45">
        <f>M27</f>
        <v>555</v>
      </c>
      <c r="O23" s="42" t="str">
        <f>A27</f>
        <v>Näpi Saeveski 2</v>
      </c>
      <c r="P23" s="103"/>
      <c r="Q23" s="69">
        <f>SUM(Q24:Q26)</f>
        <v>470</v>
      </c>
      <c r="R23" s="45">
        <f>Q19</f>
        <v>596</v>
      </c>
      <c r="S23" s="42" t="str">
        <f>A19</f>
        <v>TELFER GRUPP</v>
      </c>
      <c r="T23" s="103"/>
      <c r="U23" s="69">
        <f>SUM(U24:U26)</f>
        <v>548</v>
      </c>
      <c r="V23" s="45">
        <f>U15</f>
        <v>499</v>
      </c>
      <c r="W23" s="42" t="str">
        <f>A15</f>
        <v>Wiru Ehitus</v>
      </c>
      <c r="X23" s="105">
        <f>Y23-5*C23</f>
        <v>1757</v>
      </c>
      <c r="Y23" s="36">
        <f t="shared" si="0"/>
        <v>2657</v>
      </c>
      <c r="Z23" s="75">
        <f t="shared" si="1"/>
        <v>1757</v>
      </c>
      <c r="AA23" s="37">
        <f>AVERAGE(AA24,AA25,AA26)</f>
        <v>177.13333333333333</v>
      </c>
      <c r="AB23" s="37">
        <f>AVERAGE(AB24,AB25,AB26)</f>
        <v>117.13333333333333</v>
      </c>
      <c r="AC23" s="219">
        <f>F24+J24+N24+R24+V24</f>
        <v>2</v>
      </c>
    </row>
    <row r="24" spans="1:29" s="38" customFormat="1" ht="15.75" customHeight="1">
      <c r="A24" s="222" t="s">
        <v>230</v>
      </c>
      <c r="B24" s="223"/>
      <c r="C24" s="159">
        <v>60</v>
      </c>
      <c r="D24" s="59">
        <v>123</v>
      </c>
      <c r="E24" s="50">
        <f>C24+D24</f>
        <v>183</v>
      </c>
      <c r="F24" s="224">
        <v>1</v>
      </c>
      <c r="G24" s="225"/>
      <c r="H24" s="97">
        <v>115</v>
      </c>
      <c r="I24" s="46">
        <f>H24+C24</f>
        <v>175</v>
      </c>
      <c r="J24" s="224">
        <v>0</v>
      </c>
      <c r="K24" s="225"/>
      <c r="L24" s="97">
        <v>103</v>
      </c>
      <c r="M24" s="50">
        <f>L24+C24</f>
        <v>163</v>
      </c>
      <c r="N24" s="224">
        <v>0</v>
      </c>
      <c r="O24" s="225"/>
      <c r="P24" s="97">
        <v>97</v>
      </c>
      <c r="Q24" s="50">
        <f>P24+C24</f>
        <v>157</v>
      </c>
      <c r="R24" s="224">
        <v>0</v>
      </c>
      <c r="S24" s="225"/>
      <c r="T24" s="97">
        <v>146</v>
      </c>
      <c r="U24" s="50">
        <f>T24+C24</f>
        <v>206</v>
      </c>
      <c r="V24" s="224">
        <v>1</v>
      </c>
      <c r="W24" s="225"/>
      <c r="X24" s="106">
        <f>D24+H24+L24+P24+T24</f>
        <v>584</v>
      </c>
      <c r="Y24" s="46">
        <f t="shared" si="0"/>
        <v>884</v>
      </c>
      <c r="Z24" s="73">
        <f t="shared" si="1"/>
        <v>584</v>
      </c>
      <c r="AA24" s="67">
        <f>AVERAGE(E24,I24,M24,Q24,U24)</f>
        <v>176.8</v>
      </c>
      <c r="AB24" s="67">
        <f>AVERAGE(E24,I24,M24,Q24,U24)-C24</f>
        <v>116.80000000000001</v>
      </c>
      <c r="AC24" s="220"/>
    </row>
    <row r="25" spans="1:29" s="38" customFormat="1" ht="15.75" customHeight="1">
      <c r="A25" s="222" t="s">
        <v>231</v>
      </c>
      <c r="B25" s="223"/>
      <c r="C25" s="159">
        <v>60</v>
      </c>
      <c r="D25" s="59">
        <v>164</v>
      </c>
      <c r="E25" s="50">
        <f>D25+C25</f>
        <v>224</v>
      </c>
      <c r="F25" s="226"/>
      <c r="G25" s="227"/>
      <c r="H25" s="98">
        <v>95</v>
      </c>
      <c r="I25" s="46">
        <f>H25+C25</f>
        <v>155</v>
      </c>
      <c r="J25" s="226"/>
      <c r="K25" s="227"/>
      <c r="L25" s="98">
        <v>105</v>
      </c>
      <c r="M25" s="50">
        <f>L25+C25</f>
        <v>165</v>
      </c>
      <c r="N25" s="226"/>
      <c r="O25" s="227"/>
      <c r="P25" s="98">
        <v>94</v>
      </c>
      <c r="Q25" s="50">
        <f>P25+C25</f>
        <v>154</v>
      </c>
      <c r="R25" s="226"/>
      <c r="S25" s="227"/>
      <c r="T25" s="98">
        <v>117</v>
      </c>
      <c r="U25" s="50">
        <f>T25+C25</f>
        <v>177</v>
      </c>
      <c r="V25" s="226"/>
      <c r="W25" s="227"/>
      <c r="X25" s="106">
        <f>D25+H25+L25+P25+T25</f>
        <v>575</v>
      </c>
      <c r="Y25" s="46">
        <f t="shared" si="0"/>
        <v>875</v>
      </c>
      <c r="Z25" s="73">
        <f t="shared" si="1"/>
        <v>575</v>
      </c>
      <c r="AA25" s="67">
        <f>AVERAGE(E25,I25,M25,Q25,U25)</f>
        <v>175</v>
      </c>
      <c r="AB25" s="67">
        <f>AVERAGE(E25,I25,M25,Q25,U25)-C25</f>
        <v>115</v>
      </c>
      <c r="AC25" s="220"/>
    </row>
    <row r="26" spans="1:29" s="38" customFormat="1" ht="15.75" customHeight="1" thickBot="1">
      <c r="A26" s="229" t="s">
        <v>232</v>
      </c>
      <c r="B26" s="230"/>
      <c r="C26" s="160">
        <v>60</v>
      </c>
      <c r="D26" s="60">
        <v>124</v>
      </c>
      <c r="E26" s="47">
        <f>D26+C26</f>
        <v>184</v>
      </c>
      <c r="F26" s="204"/>
      <c r="G26" s="228"/>
      <c r="H26" s="99">
        <v>129</v>
      </c>
      <c r="I26" s="46">
        <f>H26+C26</f>
        <v>189</v>
      </c>
      <c r="J26" s="204"/>
      <c r="K26" s="228"/>
      <c r="L26" s="99">
        <v>141</v>
      </c>
      <c r="M26" s="50">
        <f>L26+C26</f>
        <v>201</v>
      </c>
      <c r="N26" s="204"/>
      <c r="O26" s="228"/>
      <c r="P26" s="99">
        <v>99</v>
      </c>
      <c r="Q26" s="50">
        <f>P26+C26</f>
        <v>159</v>
      </c>
      <c r="R26" s="204"/>
      <c r="S26" s="228"/>
      <c r="T26" s="99">
        <v>105</v>
      </c>
      <c r="U26" s="50">
        <f>T26+C26</f>
        <v>165</v>
      </c>
      <c r="V26" s="204"/>
      <c r="W26" s="228"/>
      <c r="X26" s="107">
        <f>D26+H26+L26+P26+T26</f>
        <v>598</v>
      </c>
      <c r="Y26" s="47">
        <f t="shared" si="0"/>
        <v>898</v>
      </c>
      <c r="Z26" s="74">
        <f t="shared" si="1"/>
        <v>598</v>
      </c>
      <c r="AA26" s="68">
        <f>AVERAGE(E26,I26,M26,Q26,U26)</f>
        <v>179.6</v>
      </c>
      <c r="AB26" s="68">
        <f>AVERAGE(E26,I26,M26,Q26,U26)-C26</f>
        <v>119.6</v>
      </c>
      <c r="AC26" s="221"/>
    </row>
    <row r="27" spans="1:29" s="38" customFormat="1" ht="42" customHeight="1">
      <c r="A27" s="217" t="s">
        <v>241</v>
      </c>
      <c r="B27" s="218"/>
      <c r="C27" s="158">
        <f>SUM(C28:C30)</f>
        <v>180</v>
      </c>
      <c r="D27" s="62"/>
      <c r="E27" s="45">
        <f>SUM(E28:E30)</f>
        <v>510</v>
      </c>
      <c r="F27" s="45">
        <f>E7</f>
        <v>545</v>
      </c>
      <c r="G27" s="42" t="str">
        <f>A7</f>
        <v>Rakvere Soojus</v>
      </c>
      <c r="H27" s="100"/>
      <c r="I27" s="45">
        <f>SUM(I28:I30)</f>
        <v>469</v>
      </c>
      <c r="J27" s="45">
        <f>I15</f>
        <v>489</v>
      </c>
      <c r="K27" s="42" t="str">
        <f>A15</f>
        <v>Wiru Ehitus</v>
      </c>
      <c r="L27" s="102"/>
      <c r="M27" s="49">
        <f>SUM(M28:M30)</f>
        <v>555</v>
      </c>
      <c r="N27" s="45">
        <f>M23</f>
        <v>529</v>
      </c>
      <c r="O27" s="42" t="str">
        <f>A23</f>
        <v>RT EHITUS</v>
      </c>
      <c r="P27" s="102"/>
      <c r="Q27" s="49">
        <f>SUM(Q28:Q30)</f>
        <v>555</v>
      </c>
      <c r="R27" s="45">
        <f>Q11</f>
        <v>548</v>
      </c>
      <c r="S27" s="42" t="str">
        <f>A11</f>
        <v>AKAT 1</v>
      </c>
      <c r="T27" s="102"/>
      <c r="U27" s="49">
        <f>SUM(U28:U30)</f>
        <v>464</v>
      </c>
      <c r="V27" s="45">
        <f>U19</f>
        <v>653</v>
      </c>
      <c r="W27" s="42" t="str">
        <f>A19</f>
        <v>TELFER GRUPP</v>
      </c>
      <c r="X27" s="105">
        <f>Y27-5*C27</f>
        <v>1653</v>
      </c>
      <c r="Y27" s="36">
        <f t="shared" si="0"/>
        <v>2553</v>
      </c>
      <c r="Z27" s="75">
        <f t="shared" si="1"/>
        <v>1653</v>
      </c>
      <c r="AA27" s="37">
        <f>AVERAGE(AA28,AA29,AA30)</f>
        <v>170.2</v>
      </c>
      <c r="AB27" s="37">
        <f>AVERAGE(AB28,AB29,AB30)</f>
        <v>110.19999999999999</v>
      </c>
      <c r="AC27" s="219">
        <f>F28+J28+N28+R28+V28</f>
        <v>2</v>
      </c>
    </row>
    <row r="28" spans="1:29" s="38" customFormat="1" ht="15.75" customHeight="1">
      <c r="A28" s="222" t="s">
        <v>242</v>
      </c>
      <c r="B28" s="223"/>
      <c r="C28" s="159">
        <v>60</v>
      </c>
      <c r="D28" s="59">
        <v>92</v>
      </c>
      <c r="E28" s="50">
        <f>C28+D28</f>
        <v>152</v>
      </c>
      <c r="F28" s="224">
        <v>0</v>
      </c>
      <c r="G28" s="225"/>
      <c r="H28" s="97">
        <v>92</v>
      </c>
      <c r="I28" s="46">
        <f>H28+C28</f>
        <v>152</v>
      </c>
      <c r="J28" s="224">
        <v>0</v>
      </c>
      <c r="K28" s="225"/>
      <c r="L28" s="97">
        <v>128</v>
      </c>
      <c r="M28" s="50">
        <f>L28+C28</f>
        <v>188</v>
      </c>
      <c r="N28" s="224">
        <v>1</v>
      </c>
      <c r="O28" s="225"/>
      <c r="P28" s="97">
        <v>133</v>
      </c>
      <c r="Q28" s="50">
        <f>P28+C28</f>
        <v>193</v>
      </c>
      <c r="R28" s="224">
        <v>1</v>
      </c>
      <c r="S28" s="225"/>
      <c r="T28" s="97">
        <v>96</v>
      </c>
      <c r="U28" s="50">
        <f>T28+C28</f>
        <v>156</v>
      </c>
      <c r="V28" s="224">
        <v>0</v>
      </c>
      <c r="W28" s="225"/>
      <c r="X28" s="106">
        <f>D28+H28+L28+P28+T28</f>
        <v>541</v>
      </c>
      <c r="Y28" s="46">
        <f t="shared" si="0"/>
        <v>841</v>
      </c>
      <c r="Z28" s="73">
        <f t="shared" si="1"/>
        <v>541</v>
      </c>
      <c r="AA28" s="67">
        <f>AVERAGE(E28,I28,M28,Q28,U28)</f>
        <v>168.2</v>
      </c>
      <c r="AB28" s="67">
        <f>AVERAGE(E28,I28,M28,Q28,U28)-C28</f>
        <v>108.19999999999999</v>
      </c>
      <c r="AC28" s="220"/>
    </row>
    <row r="29" spans="1:29" s="38" customFormat="1" ht="15.75" customHeight="1">
      <c r="A29" s="222" t="s">
        <v>243</v>
      </c>
      <c r="B29" s="223"/>
      <c r="C29" s="159">
        <v>60</v>
      </c>
      <c r="D29" s="59">
        <v>104</v>
      </c>
      <c r="E29" s="50">
        <f>D29+C29</f>
        <v>164</v>
      </c>
      <c r="F29" s="226"/>
      <c r="G29" s="227"/>
      <c r="H29" s="98">
        <v>104</v>
      </c>
      <c r="I29" s="46">
        <f>H29+C29</f>
        <v>164</v>
      </c>
      <c r="J29" s="226"/>
      <c r="K29" s="227"/>
      <c r="L29" s="98">
        <v>129</v>
      </c>
      <c r="M29" s="50">
        <f>L29+C29</f>
        <v>189</v>
      </c>
      <c r="N29" s="226"/>
      <c r="O29" s="227"/>
      <c r="P29" s="98">
        <v>142</v>
      </c>
      <c r="Q29" s="50">
        <f>P29+C29</f>
        <v>202</v>
      </c>
      <c r="R29" s="226"/>
      <c r="S29" s="227"/>
      <c r="T29" s="98">
        <v>92</v>
      </c>
      <c r="U29" s="50">
        <f>T29+C29</f>
        <v>152</v>
      </c>
      <c r="V29" s="226"/>
      <c r="W29" s="227"/>
      <c r="X29" s="106">
        <f>D29+H29+L29+P29+T29</f>
        <v>571</v>
      </c>
      <c r="Y29" s="46">
        <f t="shared" si="0"/>
        <v>871</v>
      </c>
      <c r="Z29" s="73">
        <f t="shared" si="1"/>
        <v>571</v>
      </c>
      <c r="AA29" s="67">
        <f>AVERAGE(E29,I29,M29,Q29,U29)</f>
        <v>174.2</v>
      </c>
      <c r="AB29" s="67">
        <f>AVERAGE(E29,I29,M29,Q29,U29)-C29</f>
        <v>114.19999999999999</v>
      </c>
      <c r="AC29" s="220"/>
    </row>
    <row r="30" spans="1:29" s="38" customFormat="1" ht="15.75" customHeight="1" thickBot="1">
      <c r="A30" s="229" t="s">
        <v>244</v>
      </c>
      <c r="B30" s="230"/>
      <c r="C30" s="160">
        <v>60</v>
      </c>
      <c r="D30" s="60">
        <v>134</v>
      </c>
      <c r="E30" s="47">
        <f>D30+C30</f>
        <v>194</v>
      </c>
      <c r="F30" s="204"/>
      <c r="G30" s="228"/>
      <c r="H30" s="99">
        <v>93</v>
      </c>
      <c r="I30" s="47">
        <f>H30+C30</f>
        <v>153</v>
      </c>
      <c r="J30" s="204"/>
      <c r="K30" s="228"/>
      <c r="L30" s="99">
        <v>118</v>
      </c>
      <c r="M30" s="47">
        <f>L30+C30</f>
        <v>178</v>
      </c>
      <c r="N30" s="204"/>
      <c r="O30" s="228"/>
      <c r="P30" s="99">
        <v>100</v>
      </c>
      <c r="Q30" s="47">
        <f>P30+C30</f>
        <v>160</v>
      </c>
      <c r="R30" s="204"/>
      <c r="S30" s="228"/>
      <c r="T30" s="99">
        <v>96</v>
      </c>
      <c r="U30" s="50">
        <f>T30+C30</f>
        <v>156</v>
      </c>
      <c r="V30" s="204"/>
      <c r="W30" s="228"/>
      <c r="X30" s="107">
        <f>D30+H30+L30+P30+T30</f>
        <v>541</v>
      </c>
      <c r="Y30" s="47">
        <f t="shared" si="0"/>
        <v>841</v>
      </c>
      <c r="Z30" s="74">
        <f t="shared" si="1"/>
        <v>541</v>
      </c>
      <c r="AA30" s="68">
        <f>AVERAGE(E30,I30,M30,Q30,U30)</f>
        <v>168.2</v>
      </c>
      <c r="AB30" s="68">
        <f>AVERAGE(E30,I30,M30,Q30,U30)-C30</f>
        <v>108.19999999999999</v>
      </c>
      <c r="AC30" s="221"/>
    </row>
    <row r="31" spans="1:29" s="40" customFormat="1" ht="11.25" customHeight="1">
      <c r="A31" s="233" t="s">
        <v>196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4"/>
      <c r="W31" s="25"/>
      <c r="X31" s="57"/>
      <c r="Z31" s="70"/>
      <c r="AA31" s="41"/>
      <c r="AB31" s="121"/>
      <c r="AC31" s="25"/>
    </row>
    <row r="32" spans="1:29" s="40" customFormat="1" ht="4.5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4"/>
      <c r="W32" s="25"/>
      <c r="X32" s="57"/>
      <c r="Z32" s="70"/>
      <c r="AA32" s="41"/>
      <c r="AB32" s="121"/>
      <c r="AC32" s="25"/>
    </row>
    <row r="33" spans="1:29" s="40" customFormat="1" ht="23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4"/>
      <c r="W33" s="25"/>
      <c r="X33" s="57"/>
      <c r="Z33" s="70"/>
      <c r="AA33" s="41"/>
      <c r="AB33" s="121"/>
      <c r="AC33" s="25"/>
    </row>
    <row r="34" spans="1:29" s="40" customFormat="1" ht="16.5">
      <c r="A34" s="26"/>
      <c r="B34" s="26"/>
      <c r="C34" s="162"/>
      <c r="D34" s="54"/>
      <c r="E34" s="25"/>
      <c r="F34" s="25"/>
      <c r="G34" s="25"/>
      <c r="H34" s="57"/>
      <c r="I34" s="25"/>
      <c r="J34" s="25"/>
      <c r="K34" s="25"/>
      <c r="L34" s="57"/>
      <c r="M34" s="25"/>
      <c r="N34" s="25"/>
      <c r="O34" s="25"/>
      <c r="P34" s="57"/>
      <c r="Q34" s="25"/>
      <c r="R34" s="25"/>
      <c r="S34" s="25"/>
      <c r="T34" s="57"/>
      <c r="U34" s="25"/>
      <c r="V34" s="25"/>
      <c r="W34" s="25"/>
      <c r="X34" s="57"/>
      <c r="Z34" s="70"/>
      <c r="AA34" s="41"/>
      <c r="AB34" s="121"/>
      <c r="AC34" s="25"/>
    </row>
    <row r="35" spans="1:29" s="31" customFormat="1" ht="15.75" customHeight="1">
      <c r="A35" s="209" t="s">
        <v>0</v>
      </c>
      <c r="B35" s="210"/>
      <c r="C35" s="156" t="s">
        <v>39</v>
      </c>
      <c r="D35" s="55"/>
      <c r="E35" s="27" t="s">
        <v>1</v>
      </c>
      <c r="F35" s="211" t="s">
        <v>2</v>
      </c>
      <c r="G35" s="212"/>
      <c r="H35" s="94"/>
      <c r="I35" s="27" t="s">
        <v>3</v>
      </c>
      <c r="J35" s="211" t="s">
        <v>2</v>
      </c>
      <c r="K35" s="212"/>
      <c r="L35" s="94"/>
      <c r="M35" s="27" t="s">
        <v>4</v>
      </c>
      <c r="N35" s="211" t="s">
        <v>2</v>
      </c>
      <c r="O35" s="212"/>
      <c r="P35" s="94"/>
      <c r="Q35" s="27" t="s">
        <v>5</v>
      </c>
      <c r="R35" s="211" t="s">
        <v>2</v>
      </c>
      <c r="S35" s="212"/>
      <c r="T35" s="94"/>
      <c r="U35" s="27" t="s">
        <v>6</v>
      </c>
      <c r="V35" s="211" t="s">
        <v>2</v>
      </c>
      <c r="W35" s="212"/>
      <c r="X35" s="104"/>
      <c r="Y35" s="28" t="s">
        <v>7</v>
      </c>
      <c r="Z35" s="71"/>
      <c r="AA35" s="29" t="s">
        <v>40</v>
      </c>
      <c r="AB35" s="52" t="s">
        <v>42</v>
      </c>
      <c r="AC35" s="30" t="s">
        <v>7</v>
      </c>
    </row>
    <row r="36" spans="1:29" s="31" customFormat="1" ht="15.75" customHeight="1" thickBot="1">
      <c r="A36" s="213" t="s">
        <v>9</v>
      </c>
      <c r="B36" s="214"/>
      <c r="C36" s="157"/>
      <c r="D36" s="56"/>
      <c r="E36" s="32" t="s">
        <v>10</v>
      </c>
      <c r="F36" s="211" t="s">
        <v>11</v>
      </c>
      <c r="G36" s="212"/>
      <c r="H36" s="95"/>
      <c r="I36" s="32" t="s">
        <v>10</v>
      </c>
      <c r="J36" s="215" t="s">
        <v>11</v>
      </c>
      <c r="K36" s="216"/>
      <c r="L36" s="95"/>
      <c r="M36" s="32" t="s">
        <v>10</v>
      </c>
      <c r="N36" s="215" t="s">
        <v>11</v>
      </c>
      <c r="O36" s="216"/>
      <c r="P36" s="95"/>
      <c r="Q36" s="32" t="s">
        <v>10</v>
      </c>
      <c r="R36" s="215" t="s">
        <v>11</v>
      </c>
      <c r="S36" s="216"/>
      <c r="T36" s="95"/>
      <c r="U36" s="32" t="s">
        <v>10</v>
      </c>
      <c r="V36" s="215" t="s">
        <v>11</v>
      </c>
      <c r="W36" s="216"/>
      <c r="X36" s="84"/>
      <c r="Y36" s="33" t="s">
        <v>10</v>
      </c>
      <c r="Z36" s="72"/>
      <c r="AA36" s="34" t="s">
        <v>41</v>
      </c>
      <c r="AB36" s="53" t="s">
        <v>43</v>
      </c>
      <c r="AC36" s="35" t="s">
        <v>12</v>
      </c>
    </row>
    <row r="37" spans="1:29" s="38" customFormat="1" ht="42" customHeight="1">
      <c r="A37" s="217" t="s">
        <v>197</v>
      </c>
      <c r="B37" s="218"/>
      <c r="C37" s="158">
        <f>SUM(C38:C40)</f>
        <v>57</v>
      </c>
      <c r="D37" s="62"/>
      <c r="E37" s="63">
        <f>SUM(E38:E40)</f>
        <v>577</v>
      </c>
      <c r="F37" s="46">
        <f>E57</f>
        <v>518</v>
      </c>
      <c r="G37" s="64" t="str">
        <f>A57</f>
        <v>PENN&amp; PÄRLIN</v>
      </c>
      <c r="H37" s="96"/>
      <c r="I37" s="49">
        <f>SUM(I38:I40)</f>
        <v>583</v>
      </c>
      <c r="J37" s="49">
        <f>I53</f>
        <v>510</v>
      </c>
      <c r="K37" s="42" t="str">
        <f>A53</f>
        <v>NÄPI SAEVESKI</v>
      </c>
      <c r="L37" s="100"/>
      <c r="M37" s="45">
        <f>SUM(M38:M40)</f>
        <v>561</v>
      </c>
      <c r="N37" s="45">
        <f>M49</f>
        <v>520</v>
      </c>
      <c r="O37" s="42" t="str">
        <f>A49</f>
        <v>KUNDA TRANS</v>
      </c>
      <c r="P37" s="100"/>
      <c r="Q37" s="45">
        <f>SUM(Q38:Q40)</f>
        <v>538</v>
      </c>
      <c r="R37" s="45">
        <f>Q45</f>
        <v>479</v>
      </c>
      <c r="S37" s="42" t="str">
        <f>A45</f>
        <v>ASSAR LUKUAUK</v>
      </c>
      <c r="T37" s="100"/>
      <c r="U37" s="45">
        <f>SUM(U38:U40)</f>
        <v>519</v>
      </c>
      <c r="V37" s="45">
        <f>U41</f>
        <v>615</v>
      </c>
      <c r="W37" s="42" t="str">
        <f>A41</f>
        <v>MP AUTO</v>
      </c>
      <c r="X37" s="105">
        <f>Y37-5*C37</f>
        <v>2493</v>
      </c>
      <c r="Y37" s="36">
        <f aca="true" t="shared" si="2" ref="Y37:Y60">E37+I37+M37+Q37+U37</f>
        <v>2778</v>
      </c>
      <c r="Z37" s="73">
        <f aca="true" t="shared" si="3" ref="Z37:Z60">Y37-5*C37</f>
        <v>2493</v>
      </c>
      <c r="AA37" s="37">
        <f>AVERAGE(AA38,AA39,AA40)</f>
        <v>185.19999999999996</v>
      </c>
      <c r="AB37" s="65">
        <f>AVERAGE(AB38,AB39,AB40)</f>
        <v>166.2</v>
      </c>
      <c r="AC37" s="219">
        <f>F38+J38+N38+R38+V38</f>
        <v>4</v>
      </c>
    </row>
    <row r="38" spans="1:29" s="38" customFormat="1" ht="15.75">
      <c r="A38" s="222" t="s">
        <v>203</v>
      </c>
      <c r="B38" s="223"/>
      <c r="C38" s="159">
        <v>19</v>
      </c>
      <c r="D38" s="59">
        <v>168</v>
      </c>
      <c r="E38" s="50">
        <f>D38+C38</f>
        <v>187</v>
      </c>
      <c r="F38" s="224">
        <v>1</v>
      </c>
      <c r="G38" s="225"/>
      <c r="H38" s="97">
        <v>156</v>
      </c>
      <c r="I38" s="46">
        <f>H38+C38</f>
        <v>175</v>
      </c>
      <c r="J38" s="224">
        <v>1</v>
      </c>
      <c r="K38" s="225"/>
      <c r="L38" s="97">
        <v>153</v>
      </c>
      <c r="M38" s="50">
        <f>L38+C38</f>
        <v>172</v>
      </c>
      <c r="N38" s="224">
        <v>1</v>
      </c>
      <c r="O38" s="225"/>
      <c r="P38" s="97">
        <v>140</v>
      </c>
      <c r="Q38" s="50">
        <f>P38+C38</f>
        <v>159</v>
      </c>
      <c r="R38" s="224">
        <v>1</v>
      </c>
      <c r="S38" s="225"/>
      <c r="T38" s="97">
        <v>130</v>
      </c>
      <c r="U38" s="50">
        <f>T38+C38</f>
        <v>149</v>
      </c>
      <c r="V38" s="224">
        <v>0</v>
      </c>
      <c r="W38" s="225"/>
      <c r="X38" s="106">
        <f>D38+H38+L38+P38+T38</f>
        <v>747</v>
      </c>
      <c r="Y38" s="46">
        <f t="shared" si="2"/>
        <v>842</v>
      </c>
      <c r="Z38" s="73">
        <f t="shared" si="3"/>
        <v>747</v>
      </c>
      <c r="AA38" s="67">
        <f>AVERAGE(E38,I38,M38,Q38,U38)</f>
        <v>168.4</v>
      </c>
      <c r="AB38" s="67">
        <f>AVERAGE(E38,I38,M38,Q38,U38)-C38</f>
        <v>149.4</v>
      </c>
      <c r="AC38" s="220"/>
    </row>
    <row r="39" spans="1:29" s="38" customFormat="1" ht="15.75">
      <c r="A39" s="222" t="s">
        <v>204</v>
      </c>
      <c r="B39" s="223"/>
      <c r="C39" s="159">
        <v>11</v>
      </c>
      <c r="D39" s="59">
        <v>181</v>
      </c>
      <c r="E39" s="50">
        <f>D39+C39</f>
        <v>192</v>
      </c>
      <c r="F39" s="226"/>
      <c r="G39" s="227"/>
      <c r="H39" s="98">
        <v>165</v>
      </c>
      <c r="I39" s="46">
        <f>H39+C39</f>
        <v>176</v>
      </c>
      <c r="J39" s="226"/>
      <c r="K39" s="227"/>
      <c r="L39" s="98">
        <v>174</v>
      </c>
      <c r="M39" s="50">
        <f>L39+C39</f>
        <v>185</v>
      </c>
      <c r="N39" s="226"/>
      <c r="O39" s="227"/>
      <c r="P39" s="98">
        <v>152</v>
      </c>
      <c r="Q39" s="50">
        <f>P39+C39</f>
        <v>163</v>
      </c>
      <c r="R39" s="226"/>
      <c r="S39" s="227"/>
      <c r="T39" s="98">
        <v>168</v>
      </c>
      <c r="U39" s="50">
        <f>T39+C39</f>
        <v>179</v>
      </c>
      <c r="V39" s="226"/>
      <c r="W39" s="227"/>
      <c r="X39" s="106">
        <f>D39+H39+L39+P39+T39</f>
        <v>840</v>
      </c>
      <c r="Y39" s="46">
        <f t="shared" si="2"/>
        <v>895</v>
      </c>
      <c r="Z39" s="73">
        <f t="shared" si="3"/>
        <v>840</v>
      </c>
      <c r="AA39" s="67">
        <f>AVERAGE(E39,I39,M39,Q39,U39)</f>
        <v>179</v>
      </c>
      <c r="AB39" s="67">
        <f>AVERAGE(E39,I39,M39,Q39,U39)-C39</f>
        <v>168</v>
      </c>
      <c r="AC39" s="220"/>
    </row>
    <row r="40" spans="1:29" s="38" customFormat="1" ht="16.5" thickBot="1">
      <c r="A40" s="229" t="s">
        <v>205</v>
      </c>
      <c r="B40" s="230"/>
      <c r="C40" s="160">
        <v>27</v>
      </c>
      <c r="D40" s="60">
        <v>171</v>
      </c>
      <c r="E40" s="47">
        <f>D40+C40</f>
        <v>198</v>
      </c>
      <c r="F40" s="204"/>
      <c r="G40" s="228"/>
      <c r="H40" s="99">
        <v>205</v>
      </c>
      <c r="I40" s="46">
        <f>H40+C40</f>
        <v>232</v>
      </c>
      <c r="J40" s="204"/>
      <c r="K40" s="228"/>
      <c r="L40" s="99">
        <v>177</v>
      </c>
      <c r="M40" s="50">
        <f>L40+C40</f>
        <v>204</v>
      </c>
      <c r="N40" s="204"/>
      <c r="O40" s="228"/>
      <c r="P40" s="99">
        <v>189</v>
      </c>
      <c r="Q40" s="50">
        <f>P40+C40</f>
        <v>216</v>
      </c>
      <c r="R40" s="204"/>
      <c r="S40" s="228"/>
      <c r="T40" s="99">
        <v>164</v>
      </c>
      <c r="U40" s="50">
        <f>T40+C40</f>
        <v>191</v>
      </c>
      <c r="V40" s="204"/>
      <c r="W40" s="228"/>
      <c r="X40" s="107">
        <f>D40+H40+L40+P40+T40</f>
        <v>906</v>
      </c>
      <c r="Y40" s="47">
        <f t="shared" si="2"/>
        <v>1041</v>
      </c>
      <c r="Z40" s="74">
        <f t="shared" si="3"/>
        <v>906</v>
      </c>
      <c r="AA40" s="68">
        <f>AVERAGE(E40,I40,M40,Q40,U40)</f>
        <v>208.2</v>
      </c>
      <c r="AB40" s="68">
        <f>AVERAGE(E40,I40,M40,Q40,U40)-C40</f>
        <v>181.2</v>
      </c>
      <c r="AC40" s="221"/>
    </row>
    <row r="41" spans="1:29" s="38" customFormat="1" ht="41.25" customHeight="1">
      <c r="A41" s="217" t="s">
        <v>198</v>
      </c>
      <c r="B41" s="218"/>
      <c r="C41" s="158">
        <f>SUM(C42:C44)</f>
        <v>180</v>
      </c>
      <c r="D41" s="62"/>
      <c r="E41" s="45">
        <f>SUM(E42:E44)</f>
        <v>557</v>
      </c>
      <c r="F41" s="45">
        <f>E53</f>
        <v>624</v>
      </c>
      <c r="G41" s="42" t="str">
        <f>A53</f>
        <v>NÄPI SAEVESKI</v>
      </c>
      <c r="H41" s="100"/>
      <c r="I41" s="45">
        <f>SUM(I42:I44)</f>
        <v>567</v>
      </c>
      <c r="J41" s="46">
        <f>I49</f>
        <v>582</v>
      </c>
      <c r="K41" s="42" t="str">
        <f>A49</f>
        <v>KUNDA TRANS</v>
      </c>
      <c r="L41" s="102"/>
      <c r="M41" s="49">
        <f>SUM(M42:M44)</f>
        <v>682</v>
      </c>
      <c r="N41" s="45">
        <f>M45</f>
        <v>497</v>
      </c>
      <c r="O41" s="42" t="str">
        <f>A45</f>
        <v>ASSAR LUKUAUK</v>
      </c>
      <c r="P41" s="102"/>
      <c r="Q41" s="49">
        <f>SUM(Q42:Q44)</f>
        <v>573</v>
      </c>
      <c r="R41" s="45">
        <f>Q57</f>
        <v>528</v>
      </c>
      <c r="S41" s="42" t="str">
        <f>A57</f>
        <v>PENN&amp; PÄRLIN</v>
      </c>
      <c r="T41" s="102"/>
      <c r="U41" s="49">
        <f>SUM(U42:U44)</f>
        <v>615</v>
      </c>
      <c r="V41" s="45">
        <f>U37</f>
        <v>519</v>
      </c>
      <c r="W41" s="42" t="str">
        <f>A37</f>
        <v>NOOBEL</v>
      </c>
      <c r="X41" s="105">
        <f>Y41-5*C41</f>
        <v>2094</v>
      </c>
      <c r="Y41" s="36">
        <f t="shared" si="2"/>
        <v>2994</v>
      </c>
      <c r="Z41" s="75">
        <f t="shared" si="3"/>
        <v>2094</v>
      </c>
      <c r="AA41" s="37">
        <f>AVERAGE(AA42,AA43,AA44)</f>
        <v>199.6</v>
      </c>
      <c r="AB41" s="37">
        <f>AVERAGE(AB42,AB43,AB44)</f>
        <v>139.6</v>
      </c>
      <c r="AC41" s="220">
        <f>F42+J42+N42+R42+V42</f>
        <v>3</v>
      </c>
    </row>
    <row r="42" spans="1:29" s="38" customFormat="1" ht="15.75" customHeight="1">
      <c r="A42" s="222" t="s">
        <v>209</v>
      </c>
      <c r="B42" s="223"/>
      <c r="C42" s="159">
        <v>60</v>
      </c>
      <c r="D42" s="59">
        <v>135</v>
      </c>
      <c r="E42" s="50">
        <f>D42+C42</f>
        <v>195</v>
      </c>
      <c r="F42" s="224">
        <v>0</v>
      </c>
      <c r="G42" s="225"/>
      <c r="H42" s="97">
        <v>140</v>
      </c>
      <c r="I42" s="46">
        <f>H42+C42</f>
        <v>200</v>
      </c>
      <c r="J42" s="224">
        <v>0</v>
      </c>
      <c r="K42" s="225"/>
      <c r="L42" s="97">
        <v>177</v>
      </c>
      <c r="M42" s="50">
        <f>L42+C42</f>
        <v>237</v>
      </c>
      <c r="N42" s="224">
        <v>1</v>
      </c>
      <c r="O42" s="225"/>
      <c r="P42" s="97">
        <v>156</v>
      </c>
      <c r="Q42" s="50">
        <f>P42+C42</f>
        <v>216</v>
      </c>
      <c r="R42" s="224">
        <v>1</v>
      </c>
      <c r="S42" s="225"/>
      <c r="T42" s="97">
        <v>131</v>
      </c>
      <c r="U42" s="50">
        <f>T42+C42</f>
        <v>191</v>
      </c>
      <c r="V42" s="224">
        <v>1</v>
      </c>
      <c r="W42" s="225"/>
      <c r="X42" s="106">
        <f>D42+H42+L42+P42+T42</f>
        <v>739</v>
      </c>
      <c r="Y42" s="46">
        <f t="shared" si="2"/>
        <v>1039</v>
      </c>
      <c r="Z42" s="73">
        <f t="shared" si="3"/>
        <v>739</v>
      </c>
      <c r="AA42" s="67">
        <f>AVERAGE(E42,I42,M42,Q42,U42)</f>
        <v>207.8</v>
      </c>
      <c r="AB42" s="67">
        <f>AVERAGE(E42,I42,M42,Q42,U42)-C42</f>
        <v>147.8</v>
      </c>
      <c r="AC42" s="220"/>
    </row>
    <row r="43" spans="1:29" s="38" customFormat="1" ht="15.75" customHeight="1">
      <c r="A43" s="222" t="s">
        <v>210</v>
      </c>
      <c r="B43" s="223"/>
      <c r="C43" s="159">
        <v>60</v>
      </c>
      <c r="D43" s="59">
        <v>113</v>
      </c>
      <c r="E43" s="50">
        <f>D43+C43</f>
        <v>173</v>
      </c>
      <c r="F43" s="226"/>
      <c r="G43" s="227"/>
      <c r="H43" s="98">
        <v>120</v>
      </c>
      <c r="I43" s="46">
        <f>H43+C43</f>
        <v>180</v>
      </c>
      <c r="J43" s="226"/>
      <c r="K43" s="227"/>
      <c r="L43" s="98">
        <v>162</v>
      </c>
      <c r="M43" s="50">
        <f>L43+C43</f>
        <v>222</v>
      </c>
      <c r="N43" s="226"/>
      <c r="O43" s="227"/>
      <c r="P43" s="98">
        <v>126</v>
      </c>
      <c r="Q43" s="50">
        <f>P43+C43</f>
        <v>186</v>
      </c>
      <c r="R43" s="226"/>
      <c r="S43" s="227"/>
      <c r="T43" s="98">
        <v>130</v>
      </c>
      <c r="U43" s="50">
        <f>T43+C43</f>
        <v>190</v>
      </c>
      <c r="V43" s="226"/>
      <c r="W43" s="227"/>
      <c r="X43" s="106">
        <f>D43+H43+L43+P43+T43</f>
        <v>651</v>
      </c>
      <c r="Y43" s="46">
        <f t="shared" si="2"/>
        <v>951</v>
      </c>
      <c r="Z43" s="73">
        <f t="shared" si="3"/>
        <v>651</v>
      </c>
      <c r="AA43" s="67">
        <f>AVERAGE(E43,I43,M43,Q43,U43)</f>
        <v>190.2</v>
      </c>
      <c r="AB43" s="67">
        <f>AVERAGE(E43,I43,M43,Q43,U43)-C43</f>
        <v>130.2</v>
      </c>
      <c r="AC43" s="220"/>
    </row>
    <row r="44" spans="1:29" s="38" customFormat="1" ht="15.75" customHeight="1" thickBot="1">
      <c r="A44" s="229" t="s">
        <v>256</v>
      </c>
      <c r="B44" s="230"/>
      <c r="C44" s="160">
        <v>60</v>
      </c>
      <c r="D44" s="60">
        <v>129</v>
      </c>
      <c r="E44" s="47">
        <f>D44+C44</f>
        <v>189</v>
      </c>
      <c r="F44" s="204"/>
      <c r="G44" s="228"/>
      <c r="H44" s="99">
        <v>127</v>
      </c>
      <c r="I44" s="46">
        <f>H44+C44</f>
        <v>187</v>
      </c>
      <c r="J44" s="204"/>
      <c r="K44" s="228"/>
      <c r="L44" s="99">
        <v>163</v>
      </c>
      <c r="M44" s="50">
        <f>L44+C44</f>
        <v>223</v>
      </c>
      <c r="N44" s="204"/>
      <c r="O44" s="228"/>
      <c r="P44" s="99">
        <v>111</v>
      </c>
      <c r="Q44" s="50">
        <f>P44+C44</f>
        <v>171</v>
      </c>
      <c r="R44" s="204"/>
      <c r="S44" s="228"/>
      <c r="T44" s="99">
        <v>174</v>
      </c>
      <c r="U44" s="50">
        <f>T44+C44</f>
        <v>234</v>
      </c>
      <c r="V44" s="204"/>
      <c r="W44" s="228"/>
      <c r="X44" s="107">
        <f>D44+H44+L44+P44+T44</f>
        <v>704</v>
      </c>
      <c r="Y44" s="47">
        <f t="shared" si="2"/>
        <v>1004</v>
      </c>
      <c r="Z44" s="74">
        <f t="shared" si="3"/>
        <v>704</v>
      </c>
      <c r="AA44" s="68">
        <f>AVERAGE(E44,I44,M44,Q44,U44)</f>
        <v>200.8</v>
      </c>
      <c r="AB44" s="68">
        <f>AVERAGE(E44,I44,M44,Q44,U44)-C44</f>
        <v>140.8</v>
      </c>
      <c r="AC44" s="221"/>
    </row>
    <row r="45" spans="1:29" s="38" customFormat="1" ht="47.25" customHeight="1">
      <c r="A45" s="217" t="s">
        <v>199</v>
      </c>
      <c r="B45" s="218"/>
      <c r="C45" s="158">
        <f>SUM(C46:C48)</f>
        <v>87</v>
      </c>
      <c r="D45" s="62"/>
      <c r="E45" s="45">
        <f>SUM(E46:E48)</f>
        <v>538</v>
      </c>
      <c r="F45" s="45">
        <f>E49</f>
        <v>578</v>
      </c>
      <c r="G45" s="42" t="str">
        <f>A49</f>
        <v>KUNDA TRANS</v>
      </c>
      <c r="H45" s="100"/>
      <c r="I45" s="45">
        <f>SUM(I46:I48)</f>
        <v>579</v>
      </c>
      <c r="J45" s="45">
        <f>I57</f>
        <v>647</v>
      </c>
      <c r="K45" s="42" t="str">
        <f>A57</f>
        <v>PENN&amp; PÄRLIN</v>
      </c>
      <c r="L45" s="103"/>
      <c r="M45" s="69">
        <f>SUM(M46:M48)</f>
        <v>497</v>
      </c>
      <c r="N45" s="45">
        <f>M41</f>
        <v>682</v>
      </c>
      <c r="O45" s="42" t="str">
        <f>A41</f>
        <v>MP AUTO</v>
      </c>
      <c r="P45" s="103"/>
      <c r="Q45" s="69">
        <f>SUM(Q46:Q48)</f>
        <v>479</v>
      </c>
      <c r="R45" s="45">
        <f>Q37</f>
        <v>538</v>
      </c>
      <c r="S45" s="42" t="str">
        <f>A37</f>
        <v>NOOBEL</v>
      </c>
      <c r="T45" s="103"/>
      <c r="U45" s="69">
        <f>SUM(U46:U48)</f>
        <v>574</v>
      </c>
      <c r="V45" s="45">
        <f>U53</f>
        <v>614</v>
      </c>
      <c r="W45" s="42" t="str">
        <f>A53</f>
        <v>NÄPI SAEVESKI</v>
      </c>
      <c r="X45" s="105">
        <f>Y45-5*C45</f>
        <v>2232</v>
      </c>
      <c r="Y45" s="36">
        <f t="shared" si="2"/>
        <v>2667</v>
      </c>
      <c r="Z45" s="75">
        <f t="shared" si="3"/>
        <v>2232</v>
      </c>
      <c r="AA45" s="37">
        <f>AVERAGE(AA46,AA47,AA48)</f>
        <v>177.79999999999998</v>
      </c>
      <c r="AB45" s="37">
        <f>AVERAGE(AB46,AB47,AB48)</f>
        <v>148.79999999999998</v>
      </c>
      <c r="AC45" s="219">
        <f>F46+J46+N46+R46+V46</f>
        <v>0</v>
      </c>
    </row>
    <row r="46" spans="1:29" s="38" customFormat="1" ht="15.75" customHeight="1">
      <c r="A46" s="222" t="s">
        <v>218</v>
      </c>
      <c r="B46" s="223"/>
      <c r="C46" s="159">
        <v>17</v>
      </c>
      <c r="D46" s="59">
        <v>176</v>
      </c>
      <c r="E46" s="50">
        <f>D46+C46</f>
        <v>193</v>
      </c>
      <c r="F46" s="224">
        <v>0</v>
      </c>
      <c r="G46" s="225"/>
      <c r="H46" s="97">
        <v>180</v>
      </c>
      <c r="I46" s="46">
        <f>H46+C46</f>
        <v>197</v>
      </c>
      <c r="J46" s="224">
        <v>0</v>
      </c>
      <c r="K46" s="225"/>
      <c r="L46" s="97">
        <v>163</v>
      </c>
      <c r="M46" s="50">
        <f>L46+C46</f>
        <v>180</v>
      </c>
      <c r="N46" s="224">
        <v>0</v>
      </c>
      <c r="O46" s="225"/>
      <c r="P46" s="97">
        <v>146</v>
      </c>
      <c r="Q46" s="50">
        <f>P46+C46</f>
        <v>163</v>
      </c>
      <c r="R46" s="224">
        <v>0</v>
      </c>
      <c r="S46" s="225"/>
      <c r="T46" s="97">
        <v>224</v>
      </c>
      <c r="U46" s="50">
        <f>T46+C46</f>
        <v>241</v>
      </c>
      <c r="V46" s="224">
        <v>0</v>
      </c>
      <c r="W46" s="225"/>
      <c r="X46" s="106">
        <f>D46+H46+L46+P46+T46</f>
        <v>889</v>
      </c>
      <c r="Y46" s="46">
        <f t="shared" si="2"/>
        <v>974</v>
      </c>
      <c r="Z46" s="73">
        <f t="shared" si="3"/>
        <v>889</v>
      </c>
      <c r="AA46" s="67">
        <f>AVERAGE(E46,I46,M46,Q46,U46)</f>
        <v>194.8</v>
      </c>
      <c r="AB46" s="67">
        <f>AVERAGE(E46,I46,M46,Q46,U46)-C46</f>
        <v>177.8</v>
      </c>
      <c r="AC46" s="220"/>
    </row>
    <row r="47" spans="1:29" s="38" customFormat="1" ht="15.75" customHeight="1">
      <c r="A47" s="222" t="s">
        <v>219</v>
      </c>
      <c r="B47" s="223"/>
      <c r="C47" s="159">
        <v>36</v>
      </c>
      <c r="D47" s="59">
        <v>126</v>
      </c>
      <c r="E47" s="50">
        <f>D47+C47</f>
        <v>162</v>
      </c>
      <c r="F47" s="226"/>
      <c r="G47" s="227"/>
      <c r="H47" s="98">
        <v>175</v>
      </c>
      <c r="I47" s="46">
        <f>H47+C47</f>
        <v>211</v>
      </c>
      <c r="J47" s="226"/>
      <c r="K47" s="227"/>
      <c r="L47" s="98">
        <v>133</v>
      </c>
      <c r="M47" s="50">
        <f>L47+C47</f>
        <v>169</v>
      </c>
      <c r="N47" s="226"/>
      <c r="O47" s="227"/>
      <c r="P47" s="98">
        <v>132</v>
      </c>
      <c r="Q47" s="50">
        <f>P47+C47</f>
        <v>168</v>
      </c>
      <c r="R47" s="226"/>
      <c r="S47" s="227"/>
      <c r="T47" s="98">
        <v>137</v>
      </c>
      <c r="U47" s="50">
        <f>T47+C47</f>
        <v>173</v>
      </c>
      <c r="V47" s="226"/>
      <c r="W47" s="227"/>
      <c r="X47" s="106">
        <f>D47+H47+L47+P47+T47</f>
        <v>703</v>
      </c>
      <c r="Y47" s="46">
        <f t="shared" si="2"/>
        <v>883</v>
      </c>
      <c r="Z47" s="73">
        <f t="shared" si="3"/>
        <v>703</v>
      </c>
      <c r="AA47" s="67">
        <f>AVERAGE(E47,I47,M47,Q47,U47)</f>
        <v>176.6</v>
      </c>
      <c r="AB47" s="67">
        <f>AVERAGE(E47,I47,M47,Q47,U47)-C47</f>
        <v>140.6</v>
      </c>
      <c r="AC47" s="220"/>
    </row>
    <row r="48" spans="1:29" s="38" customFormat="1" ht="15.75" customHeight="1" thickBot="1">
      <c r="A48" s="229" t="s">
        <v>220</v>
      </c>
      <c r="B48" s="230"/>
      <c r="C48" s="160">
        <v>34</v>
      </c>
      <c r="D48" s="60">
        <v>149</v>
      </c>
      <c r="E48" s="47">
        <f>D48+C48</f>
        <v>183</v>
      </c>
      <c r="F48" s="204"/>
      <c r="G48" s="228"/>
      <c r="H48" s="99">
        <v>137</v>
      </c>
      <c r="I48" s="46">
        <f>H48+C48</f>
        <v>171</v>
      </c>
      <c r="J48" s="204"/>
      <c r="K48" s="228"/>
      <c r="L48" s="99">
        <v>114</v>
      </c>
      <c r="M48" s="50">
        <f>L48+C48</f>
        <v>148</v>
      </c>
      <c r="N48" s="204"/>
      <c r="O48" s="228"/>
      <c r="P48" s="99">
        <v>114</v>
      </c>
      <c r="Q48" s="50">
        <f>P48+C48</f>
        <v>148</v>
      </c>
      <c r="R48" s="204"/>
      <c r="S48" s="228"/>
      <c r="T48" s="99">
        <v>126</v>
      </c>
      <c r="U48" s="50">
        <f>T48+C48</f>
        <v>160</v>
      </c>
      <c r="V48" s="204"/>
      <c r="W48" s="228"/>
      <c r="X48" s="107">
        <f>D48+H48+L48+P48+T48</f>
        <v>640</v>
      </c>
      <c r="Y48" s="47">
        <f t="shared" si="2"/>
        <v>810</v>
      </c>
      <c r="Z48" s="74">
        <f t="shared" si="3"/>
        <v>640</v>
      </c>
      <c r="AA48" s="68">
        <f>AVERAGE(E48,I48,M48,Q48,U48)</f>
        <v>162</v>
      </c>
      <c r="AB48" s="68">
        <f>AVERAGE(E48,I48,M48,Q48,U48)-C48</f>
        <v>128</v>
      </c>
      <c r="AC48" s="221"/>
    </row>
    <row r="49" spans="1:29" s="38" customFormat="1" ht="39" customHeight="1">
      <c r="A49" s="217" t="s">
        <v>200</v>
      </c>
      <c r="B49" s="218"/>
      <c r="C49" s="158">
        <f>SUM(C50:C52)</f>
        <v>66</v>
      </c>
      <c r="D49" s="92"/>
      <c r="E49" s="48">
        <f>SUM(E50:E52)</f>
        <v>578</v>
      </c>
      <c r="F49" s="48">
        <f>E45</f>
        <v>538</v>
      </c>
      <c r="G49" s="43" t="str">
        <f>A45</f>
        <v>ASSAR LUKUAUK</v>
      </c>
      <c r="H49" s="101"/>
      <c r="I49" s="48">
        <f>SUM(I50:I52)</f>
        <v>582</v>
      </c>
      <c r="J49" s="48">
        <f>I41</f>
        <v>567</v>
      </c>
      <c r="K49" s="43" t="str">
        <f>A41</f>
        <v>MP AUTO</v>
      </c>
      <c r="L49" s="96"/>
      <c r="M49" s="49">
        <f>SUM(M50:M52)</f>
        <v>520</v>
      </c>
      <c r="N49" s="48">
        <f>M37</f>
        <v>561</v>
      </c>
      <c r="O49" s="43" t="str">
        <f>A37</f>
        <v>NOOBEL</v>
      </c>
      <c r="P49" s="96"/>
      <c r="Q49" s="49">
        <f>SUM(Q50:Q52)</f>
        <v>550</v>
      </c>
      <c r="R49" s="48">
        <f>Q53</f>
        <v>596</v>
      </c>
      <c r="S49" s="43" t="str">
        <f>A53</f>
        <v>NÄPI SAEVESKI</v>
      </c>
      <c r="T49" s="96"/>
      <c r="U49" s="49">
        <f>SUM(U50:U52)</f>
        <v>491</v>
      </c>
      <c r="V49" s="48">
        <f>U57</f>
        <v>597</v>
      </c>
      <c r="W49" s="43" t="str">
        <f>A57</f>
        <v>PENN&amp; PÄRLIN</v>
      </c>
      <c r="X49" s="105">
        <f>Y49-5*C49</f>
        <v>2391</v>
      </c>
      <c r="Y49" s="36">
        <f t="shared" si="2"/>
        <v>2721</v>
      </c>
      <c r="Z49" s="75">
        <f t="shared" si="3"/>
        <v>2391</v>
      </c>
      <c r="AA49" s="37">
        <f>AVERAGE(AA50,AA51,AA52)</f>
        <v>181.4</v>
      </c>
      <c r="AB49" s="37">
        <f>AVERAGE(AB50,AB51,AB52)</f>
        <v>159.4</v>
      </c>
      <c r="AC49" s="219">
        <f>F50+J50+N50+R50+V50</f>
        <v>2</v>
      </c>
    </row>
    <row r="50" spans="1:29" s="38" customFormat="1" ht="15.75" customHeight="1">
      <c r="A50" s="222" t="s">
        <v>215</v>
      </c>
      <c r="B50" s="223"/>
      <c r="C50" s="159">
        <v>7</v>
      </c>
      <c r="D50" s="59">
        <v>207</v>
      </c>
      <c r="E50" s="50">
        <f>D50+C50</f>
        <v>214</v>
      </c>
      <c r="F50" s="224">
        <v>1</v>
      </c>
      <c r="G50" s="225"/>
      <c r="H50" s="97">
        <v>170</v>
      </c>
      <c r="I50" s="46">
        <f>H50+C50</f>
        <v>177</v>
      </c>
      <c r="J50" s="224">
        <v>1</v>
      </c>
      <c r="K50" s="225"/>
      <c r="L50" s="97">
        <v>163</v>
      </c>
      <c r="M50" s="50">
        <f>L50+C50</f>
        <v>170</v>
      </c>
      <c r="N50" s="224">
        <v>0</v>
      </c>
      <c r="O50" s="225"/>
      <c r="P50" s="97">
        <v>235</v>
      </c>
      <c r="Q50" s="50">
        <f>P50+C50</f>
        <v>242</v>
      </c>
      <c r="R50" s="224">
        <v>0</v>
      </c>
      <c r="S50" s="225"/>
      <c r="T50" s="97">
        <v>124</v>
      </c>
      <c r="U50" s="50">
        <f>T50+C50</f>
        <v>131</v>
      </c>
      <c r="V50" s="224">
        <v>0</v>
      </c>
      <c r="W50" s="225"/>
      <c r="X50" s="106">
        <f>D50+H50+L50+P50+T50</f>
        <v>899</v>
      </c>
      <c r="Y50" s="46">
        <f t="shared" si="2"/>
        <v>934</v>
      </c>
      <c r="Z50" s="73">
        <f t="shared" si="3"/>
        <v>899</v>
      </c>
      <c r="AA50" s="67">
        <f>AVERAGE(E50,I50,M50,Q50,U50)</f>
        <v>186.8</v>
      </c>
      <c r="AB50" s="67">
        <f>AVERAGE(E50,I50,M50,Q50,U50)-C50</f>
        <v>179.8</v>
      </c>
      <c r="AC50" s="220"/>
    </row>
    <row r="51" spans="1:29" s="38" customFormat="1" ht="15.75" customHeight="1">
      <c r="A51" s="222" t="s">
        <v>216</v>
      </c>
      <c r="B51" s="223"/>
      <c r="C51" s="159">
        <v>33</v>
      </c>
      <c r="D51" s="59">
        <v>159</v>
      </c>
      <c r="E51" s="50">
        <f>D51+C51</f>
        <v>192</v>
      </c>
      <c r="F51" s="226"/>
      <c r="G51" s="227"/>
      <c r="H51" s="98">
        <v>192</v>
      </c>
      <c r="I51" s="46">
        <f>H51+C51</f>
        <v>225</v>
      </c>
      <c r="J51" s="226"/>
      <c r="K51" s="227"/>
      <c r="L51" s="98">
        <v>180</v>
      </c>
      <c r="M51" s="50">
        <f>L51+C51</f>
        <v>213</v>
      </c>
      <c r="N51" s="226"/>
      <c r="O51" s="227"/>
      <c r="P51" s="98">
        <v>126</v>
      </c>
      <c r="Q51" s="50">
        <f>P51+C51</f>
        <v>159</v>
      </c>
      <c r="R51" s="226"/>
      <c r="S51" s="227"/>
      <c r="T51" s="98">
        <v>156</v>
      </c>
      <c r="U51" s="50">
        <f>T51+C51</f>
        <v>189</v>
      </c>
      <c r="V51" s="226"/>
      <c r="W51" s="227"/>
      <c r="X51" s="106">
        <f>D51+H51+L51+P51+T51</f>
        <v>813</v>
      </c>
      <c r="Y51" s="46">
        <f t="shared" si="2"/>
        <v>978</v>
      </c>
      <c r="Z51" s="73">
        <f t="shared" si="3"/>
        <v>813</v>
      </c>
      <c r="AA51" s="67">
        <f>AVERAGE(E51,I51,M51,Q51,U51)</f>
        <v>195.6</v>
      </c>
      <c r="AB51" s="67">
        <f>AVERAGE(E51,I51,M51,Q51,U51)-C51</f>
        <v>162.6</v>
      </c>
      <c r="AC51" s="220"/>
    </row>
    <row r="52" spans="1:30" s="38" customFormat="1" ht="15.75" customHeight="1" thickBot="1">
      <c r="A52" s="229" t="s">
        <v>217</v>
      </c>
      <c r="B52" s="230"/>
      <c r="C52" s="160">
        <v>26</v>
      </c>
      <c r="D52" s="60">
        <v>146</v>
      </c>
      <c r="E52" s="47">
        <f>D52+C52</f>
        <v>172</v>
      </c>
      <c r="F52" s="204"/>
      <c r="G52" s="228"/>
      <c r="H52" s="99">
        <v>154</v>
      </c>
      <c r="I52" s="46">
        <f>H52+C52</f>
        <v>180</v>
      </c>
      <c r="J52" s="204"/>
      <c r="K52" s="228"/>
      <c r="L52" s="99">
        <v>111</v>
      </c>
      <c r="M52" s="50">
        <f>L52+C52</f>
        <v>137</v>
      </c>
      <c r="N52" s="204"/>
      <c r="O52" s="228"/>
      <c r="P52" s="99">
        <v>123</v>
      </c>
      <c r="Q52" s="50">
        <f>P52+C52</f>
        <v>149</v>
      </c>
      <c r="R52" s="204"/>
      <c r="S52" s="228"/>
      <c r="T52" s="99">
        <v>145</v>
      </c>
      <c r="U52" s="50">
        <f>T52+C52</f>
        <v>171</v>
      </c>
      <c r="V52" s="204"/>
      <c r="W52" s="228"/>
      <c r="X52" s="107">
        <f>D52+H52+L52+P52+T52</f>
        <v>679</v>
      </c>
      <c r="Y52" s="47">
        <f t="shared" si="2"/>
        <v>809</v>
      </c>
      <c r="Z52" s="74">
        <f t="shared" si="3"/>
        <v>679</v>
      </c>
      <c r="AA52" s="68">
        <f>AVERAGE(E52,I52,M52,Q52,U52)</f>
        <v>161.8</v>
      </c>
      <c r="AB52" s="68">
        <f>AVERAGE(E52,I52,M52,Q52,U52)-C52</f>
        <v>135.8</v>
      </c>
      <c r="AC52" s="221"/>
      <c r="AD52" s="44"/>
    </row>
    <row r="53" spans="1:29" s="38" customFormat="1" ht="40.5" customHeight="1">
      <c r="A53" s="217" t="s">
        <v>201</v>
      </c>
      <c r="B53" s="218"/>
      <c r="C53" s="158">
        <f>SUM(C54:C56)</f>
        <v>97</v>
      </c>
      <c r="D53" s="62"/>
      <c r="E53" s="45">
        <f>SUM(E54:E56)</f>
        <v>624</v>
      </c>
      <c r="F53" s="45">
        <f>E41</f>
        <v>557</v>
      </c>
      <c r="G53" s="42" t="str">
        <f>A41</f>
        <v>MP AUTO</v>
      </c>
      <c r="H53" s="100"/>
      <c r="I53" s="45">
        <f>SUM(I54:I56)</f>
        <v>510</v>
      </c>
      <c r="J53" s="45">
        <f>I37</f>
        <v>583</v>
      </c>
      <c r="K53" s="42" t="str">
        <f>A37</f>
        <v>NOOBEL</v>
      </c>
      <c r="L53" s="103"/>
      <c r="M53" s="69">
        <f>SUM(M54:M56)</f>
        <v>579</v>
      </c>
      <c r="N53" s="45">
        <f>M57</f>
        <v>579</v>
      </c>
      <c r="O53" s="42" t="str">
        <f>A57</f>
        <v>PENN&amp; PÄRLIN</v>
      </c>
      <c r="P53" s="103"/>
      <c r="Q53" s="69">
        <f>SUM(Q54:Q56)</f>
        <v>596</v>
      </c>
      <c r="R53" s="45">
        <f>Q49</f>
        <v>550</v>
      </c>
      <c r="S53" s="42" t="str">
        <f>A49</f>
        <v>KUNDA TRANS</v>
      </c>
      <c r="T53" s="103"/>
      <c r="U53" s="69">
        <f>SUM(U54:U56)</f>
        <v>614</v>
      </c>
      <c r="V53" s="45">
        <f>U45</f>
        <v>574</v>
      </c>
      <c r="W53" s="42" t="str">
        <f>A45</f>
        <v>ASSAR LUKUAUK</v>
      </c>
      <c r="X53" s="105">
        <f>Y53-5*C53</f>
        <v>2438</v>
      </c>
      <c r="Y53" s="36">
        <f t="shared" si="2"/>
        <v>2923</v>
      </c>
      <c r="Z53" s="75">
        <f t="shared" si="3"/>
        <v>2438</v>
      </c>
      <c r="AA53" s="37">
        <f>AVERAGE(AA54,AA55,AA56)</f>
        <v>194.86666666666665</v>
      </c>
      <c r="AB53" s="37">
        <f>AVERAGE(AB54,AB55,AB56)</f>
        <v>162.53333333333333</v>
      </c>
      <c r="AC53" s="219">
        <f>F54+J54+N54+R54+V54</f>
        <v>3.5</v>
      </c>
    </row>
    <row r="54" spans="1:29" s="38" customFormat="1" ht="15.75" customHeight="1">
      <c r="A54" s="222" t="s">
        <v>206</v>
      </c>
      <c r="B54" s="223"/>
      <c r="C54" s="159">
        <v>27</v>
      </c>
      <c r="D54" s="59">
        <v>167</v>
      </c>
      <c r="E54" s="50">
        <f>D54+C54</f>
        <v>194</v>
      </c>
      <c r="F54" s="224">
        <v>1</v>
      </c>
      <c r="G54" s="225"/>
      <c r="H54" s="97">
        <v>125</v>
      </c>
      <c r="I54" s="46">
        <f>H54+C54</f>
        <v>152</v>
      </c>
      <c r="J54" s="224">
        <v>0</v>
      </c>
      <c r="K54" s="225"/>
      <c r="L54" s="97">
        <v>138</v>
      </c>
      <c r="M54" s="50">
        <f>L54+C54</f>
        <v>165</v>
      </c>
      <c r="N54" s="224">
        <v>0.5</v>
      </c>
      <c r="O54" s="225"/>
      <c r="P54" s="97">
        <v>201</v>
      </c>
      <c r="Q54" s="50">
        <f>P54+C54</f>
        <v>228</v>
      </c>
      <c r="R54" s="224">
        <v>1</v>
      </c>
      <c r="S54" s="225"/>
      <c r="T54" s="97">
        <v>210</v>
      </c>
      <c r="U54" s="50">
        <f>T54+C54</f>
        <v>237</v>
      </c>
      <c r="V54" s="224">
        <v>1</v>
      </c>
      <c r="W54" s="225"/>
      <c r="X54" s="106">
        <f>D54+H54+L54+P54+T54</f>
        <v>841</v>
      </c>
      <c r="Y54" s="46">
        <f t="shared" si="2"/>
        <v>976</v>
      </c>
      <c r="Z54" s="73">
        <f t="shared" si="3"/>
        <v>841</v>
      </c>
      <c r="AA54" s="67">
        <f>AVERAGE(E54,I54,M54,Q54,U54)</f>
        <v>195.2</v>
      </c>
      <c r="AB54" s="67">
        <f>AVERAGE(E54,I54,M54,Q54,U54)-C54</f>
        <v>168.2</v>
      </c>
      <c r="AC54" s="220"/>
    </row>
    <row r="55" spans="1:29" s="38" customFormat="1" ht="15.75" customHeight="1">
      <c r="A55" s="222" t="s">
        <v>207</v>
      </c>
      <c r="B55" s="223"/>
      <c r="C55" s="159">
        <v>31</v>
      </c>
      <c r="D55" s="59">
        <v>171</v>
      </c>
      <c r="E55" s="50">
        <f>D55+C55</f>
        <v>202</v>
      </c>
      <c r="F55" s="226"/>
      <c r="G55" s="227"/>
      <c r="H55" s="98">
        <v>131</v>
      </c>
      <c r="I55" s="46">
        <f>H55+C55</f>
        <v>162</v>
      </c>
      <c r="J55" s="226"/>
      <c r="K55" s="227"/>
      <c r="L55" s="98">
        <v>166</v>
      </c>
      <c r="M55" s="50">
        <f>L55+C55</f>
        <v>197</v>
      </c>
      <c r="N55" s="226"/>
      <c r="O55" s="227"/>
      <c r="P55" s="98">
        <v>160</v>
      </c>
      <c r="Q55" s="50">
        <f>P55+C55</f>
        <v>191</v>
      </c>
      <c r="R55" s="226"/>
      <c r="S55" s="227"/>
      <c r="T55" s="98">
        <v>190</v>
      </c>
      <c r="U55" s="50">
        <f>T55+C55</f>
        <v>221</v>
      </c>
      <c r="V55" s="226"/>
      <c r="W55" s="227"/>
      <c r="X55" s="106">
        <f>D55+H55+L55+P55+T55</f>
        <v>818</v>
      </c>
      <c r="Y55" s="46">
        <f t="shared" si="2"/>
        <v>973</v>
      </c>
      <c r="Z55" s="73">
        <f t="shared" si="3"/>
        <v>818</v>
      </c>
      <c r="AA55" s="67">
        <f>AVERAGE(E55,I55,M55,Q55,U55)</f>
        <v>194.6</v>
      </c>
      <c r="AB55" s="67">
        <f>AVERAGE(E55,I55,M55,Q55,U55)-C55</f>
        <v>163.6</v>
      </c>
      <c r="AC55" s="220"/>
    </row>
    <row r="56" spans="1:29" s="38" customFormat="1" ht="15.75" customHeight="1" thickBot="1">
      <c r="A56" s="229" t="s">
        <v>208</v>
      </c>
      <c r="B56" s="230"/>
      <c r="C56" s="160">
        <v>39</v>
      </c>
      <c r="D56" s="60">
        <v>189</v>
      </c>
      <c r="E56" s="47">
        <f>D56+C56</f>
        <v>228</v>
      </c>
      <c r="F56" s="204"/>
      <c r="G56" s="228"/>
      <c r="H56" s="99">
        <v>157</v>
      </c>
      <c r="I56" s="46">
        <f>H56+C56</f>
        <v>196</v>
      </c>
      <c r="J56" s="204"/>
      <c r="K56" s="228"/>
      <c r="L56" s="99">
        <v>178</v>
      </c>
      <c r="M56" s="50">
        <f>L56+C56</f>
        <v>217</v>
      </c>
      <c r="N56" s="204"/>
      <c r="O56" s="228"/>
      <c r="P56" s="99">
        <v>138</v>
      </c>
      <c r="Q56" s="50">
        <f>P56+C56</f>
        <v>177</v>
      </c>
      <c r="R56" s="204"/>
      <c r="S56" s="228"/>
      <c r="T56" s="99">
        <v>117</v>
      </c>
      <c r="U56" s="50">
        <f>T56+C56</f>
        <v>156</v>
      </c>
      <c r="V56" s="204"/>
      <c r="W56" s="228"/>
      <c r="X56" s="107">
        <f>D56+H56+L56+P56+T56</f>
        <v>779</v>
      </c>
      <c r="Y56" s="47">
        <f t="shared" si="2"/>
        <v>974</v>
      </c>
      <c r="Z56" s="74">
        <f t="shared" si="3"/>
        <v>779</v>
      </c>
      <c r="AA56" s="68">
        <f>AVERAGE(E56,I56,M56,Q56,U56)</f>
        <v>194.8</v>
      </c>
      <c r="AB56" s="68">
        <f>AVERAGE(E56,I56,M56,Q56,U56)-C56</f>
        <v>155.8</v>
      </c>
      <c r="AC56" s="221"/>
    </row>
    <row r="57" spans="1:29" s="38" customFormat="1" ht="42" customHeight="1">
      <c r="A57" s="217" t="s">
        <v>202</v>
      </c>
      <c r="B57" s="218"/>
      <c r="C57" s="158">
        <f>SUM(C58:C60)</f>
        <v>156</v>
      </c>
      <c r="D57" s="62"/>
      <c r="E57" s="45">
        <f>SUM(E58:E60)</f>
        <v>518</v>
      </c>
      <c r="F57" s="45">
        <f>E37</f>
        <v>577</v>
      </c>
      <c r="G57" s="42" t="str">
        <f>A37</f>
        <v>NOOBEL</v>
      </c>
      <c r="H57" s="100"/>
      <c r="I57" s="45">
        <f>SUM(I58:I60)</f>
        <v>647</v>
      </c>
      <c r="J57" s="45">
        <f>I45</f>
        <v>579</v>
      </c>
      <c r="K57" s="42" t="str">
        <f>A45</f>
        <v>ASSAR LUKUAUK</v>
      </c>
      <c r="L57" s="102"/>
      <c r="M57" s="49">
        <f>SUM(M58:M60)</f>
        <v>579</v>
      </c>
      <c r="N57" s="45">
        <f>M53</f>
        <v>579</v>
      </c>
      <c r="O57" s="42" t="str">
        <f>A53</f>
        <v>NÄPI SAEVESKI</v>
      </c>
      <c r="P57" s="102"/>
      <c r="Q57" s="49">
        <f>SUM(Q58:Q60)</f>
        <v>528</v>
      </c>
      <c r="R57" s="45">
        <f>Q41</f>
        <v>573</v>
      </c>
      <c r="S57" s="42" t="str">
        <f>A41</f>
        <v>MP AUTO</v>
      </c>
      <c r="T57" s="102"/>
      <c r="U57" s="49">
        <f>SUM(U58:U60)</f>
        <v>597</v>
      </c>
      <c r="V57" s="45">
        <f>U49</f>
        <v>491</v>
      </c>
      <c r="W57" s="42" t="str">
        <f>A49</f>
        <v>KUNDA TRANS</v>
      </c>
      <c r="X57" s="105">
        <f>Y57-5*C57</f>
        <v>2089</v>
      </c>
      <c r="Y57" s="36">
        <f t="shared" si="2"/>
        <v>2869</v>
      </c>
      <c r="Z57" s="75">
        <f t="shared" si="3"/>
        <v>2089</v>
      </c>
      <c r="AA57" s="37">
        <f>AVERAGE(AA58,AA59,AA60)</f>
        <v>191.26666666666665</v>
      </c>
      <c r="AB57" s="37">
        <f>AVERAGE(AB58,AB59,AB60)</f>
        <v>139.26666666666668</v>
      </c>
      <c r="AC57" s="219">
        <f>F58+J58+N58+R58+V58</f>
        <v>2.5</v>
      </c>
    </row>
    <row r="58" spans="1:29" s="38" customFormat="1" ht="15.75" customHeight="1">
      <c r="A58" s="222" t="s">
        <v>212</v>
      </c>
      <c r="B58" s="223"/>
      <c r="C58" s="159">
        <v>36</v>
      </c>
      <c r="D58" s="59">
        <v>137</v>
      </c>
      <c r="E58" s="50">
        <f>D58+C58</f>
        <v>173</v>
      </c>
      <c r="F58" s="224">
        <v>0</v>
      </c>
      <c r="G58" s="225"/>
      <c r="H58" s="97">
        <v>227</v>
      </c>
      <c r="I58" s="46">
        <f>H58+C58</f>
        <v>263</v>
      </c>
      <c r="J58" s="224">
        <v>1</v>
      </c>
      <c r="K58" s="225"/>
      <c r="L58" s="97">
        <v>165</v>
      </c>
      <c r="M58" s="50">
        <f>L58+C58</f>
        <v>201</v>
      </c>
      <c r="N58" s="224">
        <v>0.5</v>
      </c>
      <c r="O58" s="225"/>
      <c r="P58" s="97">
        <v>183</v>
      </c>
      <c r="Q58" s="50">
        <f>P58+C58</f>
        <v>219</v>
      </c>
      <c r="R58" s="224">
        <v>0</v>
      </c>
      <c r="S58" s="225"/>
      <c r="T58" s="97">
        <v>167</v>
      </c>
      <c r="U58" s="50">
        <f>T58+C58</f>
        <v>203</v>
      </c>
      <c r="V58" s="224">
        <v>1</v>
      </c>
      <c r="W58" s="225"/>
      <c r="X58" s="106">
        <f>D58+H58+L58+P58+T58</f>
        <v>879</v>
      </c>
      <c r="Y58" s="46">
        <f t="shared" si="2"/>
        <v>1059</v>
      </c>
      <c r="Z58" s="73">
        <f t="shared" si="3"/>
        <v>879</v>
      </c>
      <c r="AA58" s="67">
        <f>AVERAGE(E58,I58,M58,Q58,U58)</f>
        <v>211.8</v>
      </c>
      <c r="AB58" s="67">
        <f>AVERAGE(E58,I58,M58,Q58,U58)-C58</f>
        <v>175.8</v>
      </c>
      <c r="AC58" s="220"/>
    </row>
    <row r="59" spans="1:29" s="38" customFormat="1" ht="15.75" customHeight="1">
      <c r="A59" s="222" t="s">
        <v>213</v>
      </c>
      <c r="B59" s="223"/>
      <c r="C59" s="159">
        <v>60</v>
      </c>
      <c r="D59" s="59">
        <v>87</v>
      </c>
      <c r="E59" s="50">
        <f>D59+C59</f>
        <v>147</v>
      </c>
      <c r="F59" s="226"/>
      <c r="G59" s="227"/>
      <c r="H59" s="98">
        <v>91</v>
      </c>
      <c r="I59" s="46">
        <f>H59+C59</f>
        <v>151</v>
      </c>
      <c r="J59" s="226"/>
      <c r="K59" s="227"/>
      <c r="L59" s="98">
        <v>114</v>
      </c>
      <c r="M59" s="50">
        <f>L59+C59</f>
        <v>174</v>
      </c>
      <c r="N59" s="226"/>
      <c r="O59" s="227"/>
      <c r="P59" s="98">
        <v>87</v>
      </c>
      <c r="Q59" s="50">
        <f>P59+C59</f>
        <v>147</v>
      </c>
      <c r="R59" s="226"/>
      <c r="S59" s="227"/>
      <c r="T59" s="98">
        <v>101</v>
      </c>
      <c r="U59" s="50">
        <f>T59+C59</f>
        <v>161</v>
      </c>
      <c r="V59" s="226"/>
      <c r="W59" s="227"/>
      <c r="X59" s="106">
        <f>D59+H59+L59+P59+T59</f>
        <v>480</v>
      </c>
      <c r="Y59" s="46">
        <f t="shared" si="2"/>
        <v>780</v>
      </c>
      <c r="Z59" s="73">
        <f t="shared" si="3"/>
        <v>480</v>
      </c>
      <c r="AA59" s="67">
        <f>AVERAGE(E59,I59,M59,Q59,U59)</f>
        <v>156</v>
      </c>
      <c r="AB59" s="67">
        <f>AVERAGE(E59,I59,M59,Q59,U59)-C59</f>
        <v>96</v>
      </c>
      <c r="AC59" s="220"/>
    </row>
    <row r="60" spans="1:29" s="38" customFormat="1" ht="15.75" customHeight="1" thickBot="1">
      <c r="A60" s="229" t="s">
        <v>214</v>
      </c>
      <c r="B60" s="230"/>
      <c r="C60" s="160">
        <v>60</v>
      </c>
      <c r="D60" s="60">
        <v>138</v>
      </c>
      <c r="E60" s="47">
        <f>D60+C60</f>
        <v>198</v>
      </c>
      <c r="F60" s="204"/>
      <c r="G60" s="228"/>
      <c r="H60" s="99">
        <v>173</v>
      </c>
      <c r="I60" s="46">
        <f>H60+C60</f>
        <v>233</v>
      </c>
      <c r="J60" s="204"/>
      <c r="K60" s="228"/>
      <c r="L60" s="99">
        <v>144</v>
      </c>
      <c r="M60" s="50">
        <f>L60+C60</f>
        <v>204</v>
      </c>
      <c r="N60" s="204"/>
      <c r="O60" s="228"/>
      <c r="P60" s="99">
        <v>102</v>
      </c>
      <c r="Q60" s="50">
        <f>P60+C60</f>
        <v>162</v>
      </c>
      <c r="R60" s="204"/>
      <c r="S60" s="228"/>
      <c r="T60" s="99">
        <v>173</v>
      </c>
      <c r="U60" s="50">
        <f>T60+C60</f>
        <v>233</v>
      </c>
      <c r="V60" s="204"/>
      <c r="W60" s="228"/>
      <c r="X60" s="107">
        <f>D60+H60+L60+P60+T60</f>
        <v>730</v>
      </c>
      <c r="Y60" s="47">
        <f t="shared" si="2"/>
        <v>1030</v>
      </c>
      <c r="Z60" s="74">
        <f t="shared" si="3"/>
        <v>730</v>
      </c>
      <c r="AA60" s="68">
        <f>AVERAGE(E60,I60,M60,Q60,U60)</f>
        <v>206</v>
      </c>
      <c r="AB60" s="68">
        <f>AVERAGE(E60,I60,M60,Q60,U60)-C60</f>
        <v>146</v>
      </c>
      <c r="AC60" s="221"/>
    </row>
    <row r="61" spans="1:29" s="40" customFormat="1" ht="11.25" customHeight="1">
      <c r="A61" s="233" t="s">
        <v>166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4"/>
      <c r="W61" s="25"/>
      <c r="X61" s="57"/>
      <c r="Z61" s="70"/>
      <c r="AA61" s="41"/>
      <c r="AB61" s="121"/>
      <c r="AC61" s="25"/>
    </row>
    <row r="62" spans="1:29" s="40" customFormat="1" ht="2.25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4"/>
      <c r="W62" s="25"/>
      <c r="X62" s="57"/>
      <c r="Z62" s="70"/>
      <c r="AA62" s="41"/>
      <c r="AB62" s="121"/>
      <c r="AC62" s="25"/>
    </row>
    <row r="63" spans="1:29" s="40" customFormat="1" ht="23.25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4"/>
      <c r="W63" s="25"/>
      <c r="X63" s="57"/>
      <c r="Z63" s="70"/>
      <c r="AA63" s="41"/>
      <c r="AB63" s="121"/>
      <c r="AC63" s="25"/>
    </row>
    <row r="64" spans="1:29" s="40" customFormat="1" ht="16.5">
      <c r="A64" s="26"/>
      <c r="B64" s="26"/>
      <c r="C64" s="162"/>
      <c r="D64" s="54"/>
      <c r="E64" s="25"/>
      <c r="F64" s="25"/>
      <c r="G64" s="25"/>
      <c r="H64" s="57"/>
      <c r="I64" s="25"/>
      <c r="J64" s="25"/>
      <c r="K64" s="25"/>
      <c r="L64" s="57"/>
      <c r="M64" s="25"/>
      <c r="N64" s="25"/>
      <c r="O64" s="25"/>
      <c r="P64" s="57"/>
      <c r="Q64" s="25"/>
      <c r="R64" s="25"/>
      <c r="S64" s="25"/>
      <c r="T64" s="57"/>
      <c r="U64" s="25"/>
      <c r="V64" s="25"/>
      <c r="W64" s="25"/>
      <c r="X64" s="57"/>
      <c r="Z64" s="70"/>
      <c r="AA64" s="41"/>
      <c r="AB64" s="121"/>
      <c r="AC64" s="25"/>
    </row>
    <row r="65" spans="1:29" s="31" customFormat="1" ht="15.75" customHeight="1">
      <c r="A65" s="209" t="s">
        <v>0</v>
      </c>
      <c r="B65" s="210"/>
      <c r="C65" s="156" t="s">
        <v>39</v>
      </c>
      <c r="D65" s="55"/>
      <c r="E65" s="27" t="s">
        <v>1</v>
      </c>
      <c r="F65" s="211" t="s">
        <v>2</v>
      </c>
      <c r="G65" s="212"/>
      <c r="H65" s="94"/>
      <c r="I65" s="27" t="s">
        <v>3</v>
      </c>
      <c r="J65" s="211" t="s">
        <v>2</v>
      </c>
      <c r="K65" s="212"/>
      <c r="L65" s="94"/>
      <c r="M65" s="27" t="s">
        <v>4</v>
      </c>
      <c r="N65" s="211" t="s">
        <v>2</v>
      </c>
      <c r="O65" s="212"/>
      <c r="P65" s="94"/>
      <c r="Q65" s="27" t="s">
        <v>5</v>
      </c>
      <c r="R65" s="211" t="s">
        <v>2</v>
      </c>
      <c r="S65" s="212"/>
      <c r="T65" s="94"/>
      <c r="U65" s="27" t="s">
        <v>6</v>
      </c>
      <c r="V65" s="211" t="s">
        <v>2</v>
      </c>
      <c r="W65" s="212"/>
      <c r="X65" s="104"/>
      <c r="Y65" s="28" t="s">
        <v>7</v>
      </c>
      <c r="Z65" s="71"/>
      <c r="AA65" s="29" t="s">
        <v>40</v>
      </c>
      <c r="AB65" s="52" t="s">
        <v>42</v>
      </c>
      <c r="AC65" s="30" t="s">
        <v>7</v>
      </c>
    </row>
    <row r="66" spans="1:29" s="31" customFormat="1" ht="15.75" customHeight="1" thickBot="1">
      <c r="A66" s="213" t="s">
        <v>9</v>
      </c>
      <c r="B66" s="214"/>
      <c r="C66" s="157"/>
      <c r="D66" s="56"/>
      <c r="E66" s="32" t="s">
        <v>10</v>
      </c>
      <c r="F66" s="211" t="s">
        <v>11</v>
      </c>
      <c r="G66" s="212"/>
      <c r="H66" s="95"/>
      <c r="I66" s="32" t="s">
        <v>10</v>
      </c>
      <c r="J66" s="215" t="s">
        <v>11</v>
      </c>
      <c r="K66" s="216"/>
      <c r="L66" s="95"/>
      <c r="M66" s="32" t="s">
        <v>10</v>
      </c>
      <c r="N66" s="215" t="s">
        <v>11</v>
      </c>
      <c r="O66" s="216"/>
      <c r="P66" s="95"/>
      <c r="Q66" s="32" t="s">
        <v>10</v>
      </c>
      <c r="R66" s="215" t="s">
        <v>11</v>
      </c>
      <c r="S66" s="216"/>
      <c r="T66" s="95"/>
      <c r="U66" s="32" t="s">
        <v>10</v>
      </c>
      <c r="V66" s="215" t="s">
        <v>11</v>
      </c>
      <c r="W66" s="216"/>
      <c r="X66" s="84"/>
      <c r="Y66" s="33" t="s">
        <v>10</v>
      </c>
      <c r="Z66" s="72"/>
      <c r="AA66" s="34" t="s">
        <v>41</v>
      </c>
      <c r="AB66" s="53" t="s">
        <v>43</v>
      </c>
      <c r="AC66" s="35" t="s">
        <v>12</v>
      </c>
    </row>
    <row r="67" spans="1:29" s="38" customFormat="1" ht="42" customHeight="1">
      <c r="A67" s="217" t="s">
        <v>171</v>
      </c>
      <c r="B67" s="218"/>
      <c r="C67" s="158">
        <f>SUM(C68:C70)</f>
        <v>180</v>
      </c>
      <c r="D67" s="62"/>
      <c r="E67" s="63">
        <f>SUM(E68:E70)</f>
        <v>561</v>
      </c>
      <c r="F67" s="46">
        <f>E87</f>
        <v>549</v>
      </c>
      <c r="G67" s="64" t="str">
        <f>A87</f>
        <v>T.E.M.</v>
      </c>
      <c r="H67" s="96"/>
      <c r="I67" s="49">
        <f>SUM(I68:I70)</f>
        <v>515</v>
      </c>
      <c r="J67" s="49">
        <f>I83</f>
        <v>576</v>
      </c>
      <c r="K67" s="42" t="str">
        <f>A83</f>
        <v>TOODE</v>
      </c>
      <c r="L67" s="100"/>
      <c r="M67" s="45">
        <f>SUM(M68:M70)</f>
        <v>515</v>
      </c>
      <c r="N67" s="45">
        <f>M79</f>
        <v>587</v>
      </c>
      <c r="O67" s="42" t="str">
        <f>A79</f>
        <v>Värska Vesi</v>
      </c>
      <c r="P67" s="100"/>
      <c r="Q67" s="45">
        <f>SUM(Q68:Q70)</f>
        <v>610</v>
      </c>
      <c r="R67" s="45">
        <f>Q75</f>
        <v>566</v>
      </c>
      <c r="S67" s="42" t="str">
        <f>A75</f>
        <v>Vest-Wood 1</v>
      </c>
      <c r="T67" s="100"/>
      <c r="U67" s="45">
        <f>SUM(U68:U70)</f>
        <v>570</v>
      </c>
      <c r="V67" s="45">
        <f>U71</f>
        <v>516</v>
      </c>
      <c r="W67" s="42" t="str">
        <f>A71</f>
        <v>A.E.J.</v>
      </c>
      <c r="X67" s="105">
        <f>Y67-5*C67</f>
        <v>1871</v>
      </c>
      <c r="Y67" s="36">
        <f aca="true" t="shared" si="4" ref="Y67:Y90">E67+I67+M67+Q67+U67</f>
        <v>2771</v>
      </c>
      <c r="Z67" s="73">
        <f aca="true" t="shared" si="5" ref="Z67:Z90">Y67-5*C67</f>
        <v>1871</v>
      </c>
      <c r="AA67" s="37">
        <f>AVERAGE(AA68,AA69,AA70)</f>
        <v>184.73333333333335</v>
      </c>
      <c r="AB67" s="65">
        <f>AVERAGE(AB68,AB69,AB70)</f>
        <v>124.73333333333335</v>
      </c>
      <c r="AC67" s="219">
        <f>F68+J68+N68+R68+V68</f>
        <v>3</v>
      </c>
    </row>
    <row r="68" spans="1:29" s="38" customFormat="1" ht="15.75">
      <c r="A68" s="222" t="s">
        <v>182</v>
      </c>
      <c r="B68" s="223"/>
      <c r="C68" s="159">
        <v>60</v>
      </c>
      <c r="D68" s="59">
        <v>139</v>
      </c>
      <c r="E68" s="50">
        <f>C68+D68</f>
        <v>199</v>
      </c>
      <c r="F68" s="224">
        <v>1</v>
      </c>
      <c r="G68" s="225"/>
      <c r="H68" s="97">
        <v>120</v>
      </c>
      <c r="I68" s="46">
        <f>C68+H68</f>
        <v>180</v>
      </c>
      <c r="J68" s="224">
        <v>0</v>
      </c>
      <c r="K68" s="225"/>
      <c r="L68" s="97">
        <v>125</v>
      </c>
      <c r="M68" s="50">
        <f>L68+C68</f>
        <v>185</v>
      </c>
      <c r="N68" s="224">
        <v>0</v>
      </c>
      <c r="O68" s="225"/>
      <c r="P68" s="97">
        <v>163</v>
      </c>
      <c r="Q68" s="50">
        <f>P68+C68</f>
        <v>223</v>
      </c>
      <c r="R68" s="224">
        <v>1</v>
      </c>
      <c r="S68" s="225"/>
      <c r="T68" s="97">
        <v>177</v>
      </c>
      <c r="U68" s="50">
        <f>T68+C68</f>
        <v>237</v>
      </c>
      <c r="V68" s="224">
        <v>1</v>
      </c>
      <c r="W68" s="225"/>
      <c r="X68" s="106">
        <f>D68+H68+L68+P68+T68</f>
        <v>724</v>
      </c>
      <c r="Y68" s="46">
        <f t="shared" si="4"/>
        <v>1024</v>
      </c>
      <c r="Z68" s="73">
        <f t="shared" si="5"/>
        <v>724</v>
      </c>
      <c r="AA68" s="67">
        <f>AVERAGE(E68,I68,M68,Q68,U68)</f>
        <v>204.8</v>
      </c>
      <c r="AB68" s="67">
        <f>AVERAGE(E68,I68,M68,Q68,U68)-C68</f>
        <v>144.8</v>
      </c>
      <c r="AC68" s="220"/>
    </row>
    <row r="69" spans="1:29" s="38" customFormat="1" ht="15.75">
      <c r="A69" s="222" t="s">
        <v>183</v>
      </c>
      <c r="B69" s="223"/>
      <c r="C69" s="159">
        <v>60</v>
      </c>
      <c r="D69" s="59">
        <v>155</v>
      </c>
      <c r="E69" s="50">
        <f>C69+D69</f>
        <v>215</v>
      </c>
      <c r="F69" s="226"/>
      <c r="G69" s="227"/>
      <c r="H69" s="98">
        <v>100</v>
      </c>
      <c r="I69" s="46">
        <f>C69+H69</f>
        <v>160</v>
      </c>
      <c r="J69" s="226"/>
      <c r="K69" s="227"/>
      <c r="L69" s="98">
        <v>114</v>
      </c>
      <c r="M69" s="50">
        <f>L69+C69</f>
        <v>174</v>
      </c>
      <c r="N69" s="226"/>
      <c r="O69" s="227"/>
      <c r="P69" s="98">
        <v>131</v>
      </c>
      <c r="Q69" s="50">
        <f>P69+C69</f>
        <v>191</v>
      </c>
      <c r="R69" s="226"/>
      <c r="S69" s="227"/>
      <c r="T69" s="98">
        <v>100</v>
      </c>
      <c r="U69" s="50">
        <f>T69+C69</f>
        <v>160</v>
      </c>
      <c r="V69" s="226"/>
      <c r="W69" s="227"/>
      <c r="X69" s="106">
        <f>D69+H69+L69+P69+T69</f>
        <v>600</v>
      </c>
      <c r="Y69" s="46">
        <f t="shared" si="4"/>
        <v>900</v>
      </c>
      <c r="Z69" s="73">
        <f t="shared" si="5"/>
        <v>600</v>
      </c>
      <c r="AA69" s="67">
        <f>AVERAGE(E69,I69,M69,Q69,U69)</f>
        <v>180</v>
      </c>
      <c r="AB69" s="67">
        <f>AVERAGE(E69,I69,M69,Q69,U69)-C69</f>
        <v>120</v>
      </c>
      <c r="AC69" s="220"/>
    </row>
    <row r="70" spans="1:29" s="38" customFormat="1" ht="16.5" thickBot="1">
      <c r="A70" s="229" t="s">
        <v>184</v>
      </c>
      <c r="B70" s="230"/>
      <c r="C70" s="160">
        <v>60</v>
      </c>
      <c r="D70" s="60">
        <v>87</v>
      </c>
      <c r="E70" s="47">
        <f>C70+D70</f>
        <v>147</v>
      </c>
      <c r="F70" s="204"/>
      <c r="G70" s="228"/>
      <c r="H70" s="99">
        <v>115</v>
      </c>
      <c r="I70" s="47">
        <f>C70+H70</f>
        <v>175</v>
      </c>
      <c r="J70" s="204"/>
      <c r="K70" s="228"/>
      <c r="L70" s="99">
        <v>96</v>
      </c>
      <c r="M70" s="47">
        <f>L70+C70</f>
        <v>156</v>
      </c>
      <c r="N70" s="204"/>
      <c r="O70" s="228"/>
      <c r="P70" s="99">
        <v>136</v>
      </c>
      <c r="Q70" s="50">
        <f>P70+C70</f>
        <v>196</v>
      </c>
      <c r="R70" s="204"/>
      <c r="S70" s="228"/>
      <c r="T70" s="99">
        <v>113</v>
      </c>
      <c r="U70" s="50">
        <f>T70+C70</f>
        <v>173</v>
      </c>
      <c r="V70" s="204"/>
      <c r="W70" s="228"/>
      <c r="X70" s="107">
        <f>D70+H70+L70+P70+T70</f>
        <v>547</v>
      </c>
      <c r="Y70" s="47">
        <f t="shared" si="4"/>
        <v>847</v>
      </c>
      <c r="Z70" s="74">
        <f t="shared" si="5"/>
        <v>547</v>
      </c>
      <c r="AA70" s="68">
        <f>AVERAGE(E70,I70,M70,Q70,U70)</f>
        <v>169.4</v>
      </c>
      <c r="AB70" s="68">
        <f>AVERAGE(E70,I70,M70,Q70,U70)-C70</f>
        <v>109.4</v>
      </c>
      <c r="AC70" s="221"/>
    </row>
    <row r="71" spans="1:29" s="38" customFormat="1" ht="41.25" customHeight="1">
      <c r="A71" s="217" t="s">
        <v>172</v>
      </c>
      <c r="B71" s="218"/>
      <c r="C71" s="158">
        <f>SUM(C72:C74)</f>
        <v>80</v>
      </c>
      <c r="D71" s="62"/>
      <c r="E71" s="45">
        <f>SUM(E72:E74)</f>
        <v>565</v>
      </c>
      <c r="F71" s="45">
        <f>E83</f>
        <v>513</v>
      </c>
      <c r="G71" s="42" t="str">
        <f>A83</f>
        <v>TOODE</v>
      </c>
      <c r="H71" s="100"/>
      <c r="I71" s="45">
        <f>SUM(I72:I74)</f>
        <v>563</v>
      </c>
      <c r="J71" s="45">
        <f>I79</f>
        <v>596</v>
      </c>
      <c r="K71" s="42" t="str">
        <f>A79</f>
        <v>Värska Vesi</v>
      </c>
      <c r="L71" s="102"/>
      <c r="M71" s="49">
        <f>SUM(M72:M74)</f>
        <v>567</v>
      </c>
      <c r="N71" s="45">
        <f>M75</f>
        <v>544</v>
      </c>
      <c r="O71" s="42" t="str">
        <f>A75</f>
        <v>Vest-Wood 1</v>
      </c>
      <c r="P71" s="102"/>
      <c r="Q71" s="49">
        <f>SUM(Q72:Q74)</f>
        <v>576</v>
      </c>
      <c r="R71" s="45">
        <f>Q87</f>
        <v>586</v>
      </c>
      <c r="S71" s="42" t="str">
        <f>A87</f>
        <v>T.E.M.</v>
      </c>
      <c r="T71" s="102"/>
      <c r="U71" s="49">
        <f>SUM(U72:U74)</f>
        <v>516</v>
      </c>
      <c r="V71" s="45">
        <f>U67</f>
        <v>570</v>
      </c>
      <c r="W71" s="42" t="str">
        <f>A67</f>
        <v>STIK</v>
      </c>
      <c r="X71" s="105">
        <f>Y71-5*C71</f>
        <v>2387</v>
      </c>
      <c r="Y71" s="36">
        <f t="shared" si="4"/>
        <v>2787</v>
      </c>
      <c r="Z71" s="75">
        <f t="shared" si="5"/>
        <v>2387</v>
      </c>
      <c r="AA71" s="37">
        <f>AVERAGE(AA72,AA73,AA74)</f>
        <v>185.79999999999998</v>
      </c>
      <c r="AB71" s="37">
        <f>AVERAGE(AB72,AB73,AB74)</f>
        <v>159.13333333333333</v>
      </c>
      <c r="AC71" s="220">
        <f>F72+J72+N72+R72+V72</f>
        <v>2</v>
      </c>
    </row>
    <row r="72" spans="1:29" s="38" customFormat="1" ht="15.75" customHeight="1">
      <c r="A72" s="222" t="s">
        <v>185</v>
      </c>
      <c r="B72" s="223"/>
      <c r="C72" s="159">
        <v>16</v>
      </c>
      <c r="D72" s="59">
        <v>179</v>
      </c>
      <c r="E72" s="50">
        <f>C72+D72</f>
        <v>195</v>
      </c>
      <c r="F72" s="224">
        <v>1</v>
      </c>
      <c r="G72" s="225"/>
      <c r="H72" s="97">
        <v>159</v>
      </c>
      <c r="I72" s="46">
        <f>C72+H72</f>
        <v>175</v>
      </c>
      <c r="J72" s="224">
        <v>0</v>
      </c>
      <c r="K72" s="225"/>
      <c r="L72" s="97">
        <v>170</v>
      </c>
      <c r="M72" s="50">
        <f>L72+C72</f>
        <v>186</v>
      </c>
      <c r="N72" s="224">
        <v>1</v>
      </c>
      <c r="O72" s="225"/>
      <c r="P72" s="97">
        <v>172</v>
      </c>
      <c r="Q72" s="50">
        <f>P72+C72</f>
        <v>188</v>
      </c>
      <c r="R72" s="224">
        <v>0</v>
      </c>
      <c r="S72" s="225"/>
      <c r="T72" s="97">
        <v>168</v>
      </c>
      <c r="U72" s="50">
        <f>T72+C72</f>
        <v>184</v>
      </c>
      <c r="V72" s="224">
        <v>0</v>
      </c>
      <c r="W72" s="225"/>
      <c r="X72" s="106">
        <f>D72+H72+L72+P72+T72</f>
        <v>848</v>
      </c>
      <c r="Y72" s="46">
        <f t="shared" si="4"/>
        <v>928</v>
      </c>
      <c r="Z72" s="73">
        <f t="shared" si="5"/>
        <v>848</v>
      </c>
      <c r="AA72" s="67">
        <f>AVERAGE(E72,I72,M72,Q72,U72)</f>
        <v>185.6</v>
      </c>
      <c r="AB72" s="67">
        <f>AVERAGE(E72,I72,M72,Q72,U72)-C72</f>
        <v>169.6</v>
      </c>
      <c r="AC72" s="220"/>
    </row>
    <row r="73" spans="1:29" s="38" customFormat="1" ht="15.75" customHeight="1">
      <c r="A73" s="222" t="s">
        <v>186</v>
      </c>
      <c r="B73" s="223"/>
      <c r="C73" s="159">
        <v>27</v>
      </c>
      <c r="D73" s="59">
        <v>143</v>
      </c>
      <c r="E73" s="50">
        <f>C73+D73</f>
        <v>170</v>
      </c>
      <c r="F73" s="226"/>
      <c r="G73" s="227"/>
      <c r="H73" s="98">
        <v>163</v>
      </c>
      <c r="I73" s="46">
        <f>C73+H73</f>
        <v>190</v>
      </c>
      <c r="J73" s="226"/>
      <c r="K73" s="227"/>
      <c r="L73" s="98">
        <v>146</v>
      </c>
      <c r="M73" s="50">
        <f>L73+C73</f>
        <v>173</v>
      </c>
      <c r="N73" s="226"/>
      <c r="O73" s="227"/>
      <c r="P73" s="98">
        <v>157</v>
      </c>
      <c r="Q73" s="50">
        <f>P73+C73</f>
        <v>184</v>
      </c>
      <c r="R73" s="226"/>
      <c r="S73" s="227"/>
      <c r="T73" s="98">
        <v>122</v>
      </c>
      <c r="U73" s="50">
        <f>T73+C73</f>
        <v>149</v>
      </c>
      <c r="V73" s="226"/>
      <c r="W73" s="227"/>
      <c r="X73" s="106">
        <f>D73+H73+L73+P73+T73</f>
        <v>731</v>
      </c>
      <c r="Y73" s="46">
        <f t="shared" si="4"/>
        <v>866</v>
      </c>
      <c r="Z73" s="73">
        <f t="shared" si="5"/>
        <v>731</v>
      </c>
      <c r="AA73" s="67">
        <f>AVERAGE(E73,I73,M73,Q73,U73)</f>
        <v>173.2</v>
      </c>
      <c r="AB73" s="67">
        <f>AVERAGE(E73,I73,M73,Q73,U73)-C73</f>
        <v>146.2</v>
      </c>
      <c r="AC73" s="220"/>
    </row>
    <row r="74" spans="1:29" s="38" customFormat="1" ht="15.75" customHeight="1" thickBot="1">
      <c r="A74" s="229" t="s">
        <v>187</v>
      </c>
      <c r="B74" s="230"/>
      <c r="C74" s="160">
        <v>37</v>
      </c>
      <c r="D74" s="60">
        <v>163</v>
      </c>
      <c r="E74" s="47">
        <f>C74+D74</f>
        <v>200</v>
      </c>
      <c r="F74" s="204"/>
      <c r="G74" s="228"/>
      <c r="H74" s="99">
        <v>161</v>
      </c>
      <c r="I74" s="47">
        <f>C74+H74</f>
        <v>198</v>
      </c>
      <c r="J74" s="204"/>
      <c r="K74" s="228"/>
      <c r="L74" s="99">
        <v>171</v>
      </c>
      <c r="M74" s="47">
        <f>L74+C74</f>
        <v>208</v>
      </c>
      <c r="N74" s="204"/>
      <c r="O74" s="228"/>
      <c r="P74" s="99">
        <v>167</v>
      </c>
      <c r="Q74" s="50">
        <f>P74+C74</f>
        <v>204</v>
      </c>
      <c r="R74" s="204"/>
      <c r="S74" s="228"/>
      <c r="T74" s="99">
        <v>146</v>
      </c>
      <c r="U74" s="50">
        <f>T74+C74</f>
        <v>183</v>
      </c>
      <c r="V74" s="204"/>
      <c r="W74" s="228"/>
      <c r="X74" s="107">
        <f>D74+H74+L74+P74+T74</f>
        <v>808</v>
      </c>
      <c r="Y74" s="47">
        <f t="shared" si="4"/>
        <v>993</v>
      </c>
      <c r="Z74" s="74">
        <f t="shared" si="5"/>
        <v>808</v>
      </c>
      <c r="AA74" s="68">
        <f>AVERAGE(E74,I74,M74,Q74,U74)</f>
        <v>198.6</v>
      </c>
      <c r="AB74" s="68">
        <f>AVERAGE(E74,I74,M74,Q74,U74)-C74</f>
        <v>161.6</v>
      </c>
      <c r="AC74" s="221"/>
    </row>
    <row r="75" spans="1:29" s="38" customFormat="1" ht="47.25" customHeight="1">
      <c r="A75" s="217" t="s">
        <v>173</v>
      </c>
      <c r="B75" s="218"/>
      <c r="C75" s="158">
        <f>SUM(C76:C78)</f>
        <v>131</v>
      </c>
      <c r="D75" s="62"/>
      <c r="E75" s="45">
        <f>SUM(E76:E78)</f>
        <v>622</v>
      </c>
      <c r="F75" s="45">
        <f>E79</f>
        <v>549</v>
      </c>
      <c r="G75" s="42" t="str">
        <f>A79</f>
        <v>Värska Vesi</v>
      </c>
      <c r="H75" s="100"/>
      <c r="I75" s="45">
        <f>SUM(I76:I78)</f>
        <v>523</v>
      </c>
      <c r="J75" s="45">
        <f>I87</f>
        <v>569</v>
      </c>
      <c r="K75" s="42" t="str">
        <f>A87</f>
        <v>T.E.M.</v>
      </c>
      <c r="L75" s="103"/>
      <c r="M75" s="69">
        <f>SUM(M76:M78)</f>
        <v>544</v>
      </c>
      <c r="N75" s="45">
        <f>M71</f>
        <v>567</v>
      </c>
      <c r="O75" s="42" t="str">
        <f>A71</f>
        <v>A.E.J.</v>
      </c>
      <c r="P75" s="103"/>
      <c r="Q75" s="69">
        <f>SUM(Q76:Q78)</f>
        <v>566</v>
      </c>
      <c r="R75" s="45">
        <f>Q67</f>
        <v>610</v>
      </c>
      <c r="S75" s="42" t="str">
        <f>A67</f>
        <v>STIK</v>
      </c>
      <c r="T75" s="103"/>
      <c r="U75" s="69">
        <f>SUM(U76:U78)</f>
        <v>567</v>
      </c>
      <c r="V75" s="45">
        <f>U83</f>
        <v>518</v>
      </c>
      <c r="W75" s="42" t="str">
        <f>A83</f>
        <v>TOODE</v>
      </c>
      <c r="X75" s="105">
        <f>Y75-5*C75</f>
        <v>2167</v>
      </c>
      <c r="Y75" s="36">
        <f t="shared" si="4"/>
        <v>2822</v>
      </c>
      <c r="Z75" s="75">
        <f t="shared" si="5"/>
        <v>2167</v>
      </c>
      <c r="AA75" s="37">
        <f>AVERAGE(AA76,AA77,AA78)</f>
        <v>188.13333333333335</v>
      </c>
      <c r="AB75" s="37">
        <f>AVERAGE(AB76,AB77,AB78)</f>
        <v>144.46666666666667</v>
      </c>
      <c r="AC75" s="219">
        <f>F76+J76+N76+R76+V76</f>
        <v>2</v>
      </c>
    </row>
    <row r="76" spans="1:29" s="38" customFormat="1" ht="15.75" customHeight="1">
      <c r="A76" s="222" t="s">
        <v>188</v>
      </c>
      <c r="B76" s="223"/>
      <c r="C76" s="159">
        <v>57</v>
      </c>
      <c r="D76" s="59">
        <v>147</v>
      </c>
      <c r="E76" s="50">
        <f>C76+D76</f>
        <v>204</v>
      </c>
      <c r="F76" s="224">
        <v>1</v>
      </c>
      <c r="G76" s="225"/>
      <c r="H76" s="97">
        <v>133</v>
      </c>
      <c r="I76" s="46">
        <f>C76+H76</f>
        <v>190</v>
      </c>
      <c r="J76" s="224">
        <v>0</v>
      </c>
      <c r="K76" s="225"/>
      <c r="L76" s="97">
        <v>102</v>
      </c>
      <c r="M76" s="50">
        <f>L76+C76</f>
        <v>159</v>
      </c>
      <c r="N76" s="224">
        <v>0</v>
      </c>
      <c r="O76" s="225"/>
      <c r="P76" s="97">
        <v>102</v>
      </c>
      <c r="Q76" s="50">
        <f>P76+C76</f>
        <v>159</v>
      </c>
      <c r="R76" s="224">
        <v>0</v>
      </c>
      <c r="S76" s="225"/>
      <c r="T76" s="97">
        <v>125</v>
      </c>
      <c r="U76" s="50">
        <f>T76+C76</f>
        <v>182</v>
      </c>
      <c r="V76" s="224">
        <v>1</v>
      </c>
      <c r="W76" s="225"/>
      <c r="X76" s="106">
        <f>D76+H76+L76+P76+T76</f>
        <v>609</v>
      </c>
      <c r="Y76" s="46">
        <f t="shared" si="4"/>
        <v>894</v>
      </c>
      <c r="Z76" s="73">
        <f t="shared" si="5"/>
        <v>609</v>
      </c>
      <c r="AA76" s="67">
        <f>AVERAGE(E76,I76,M76,Q76,U76)</f>
        <v>178.8</v>
      </c>
      <c r="AB76" s="67">
        <f>AVERAGE(E76,I76,M76,Q76,U76)-C76</f>
        <v>121.80000000000001</v>
      </c>
      <c r="AC76" s="220"/>
    </row>
    <row r="77" spans="1:29" s="38" customFormat="1" ht="15.75" customHeight="1">
      <c r="A77" s="222" t="s">
        <v>189</v>
      </c>
      <c r="B77" s="223"/>
      <c r="C77" s="159">
        <v>46</v>
      </c>
      <c r="D77" s="59">
        <v>181</v>
      </c>
      <c r="E77" s="50">
        <f>C77+D77</f>
        <v>227</v>
      </c>
      <c r="F77" s="226"/>
      <c r="G77" s="227"/>
      <c r="H77" s="98">
        <v>105</v>
      </c>
      <c r="I77" s="46">
        <f>C77+H77</f>
        <v>151</v>
      </c>
      <c r="J77" s="226"/>
      <c r="K77" s="227"/>
      <c r="L77" s="98">
        <v>150</v>
      </c>
      <c r="M77" s="50">
        <f>L77+C77</f>
        <v>196</v>
      </c>
      <c r="N77" s="226"/>
      <c r="O77" s="227"/>
      <c r="P77" s="98">
        <v>162</v>
      </c>
      <c r="Q77" s="50">
        <f>P77+C77</f>
        <v>208</v>
      </c>
      <c r="R77" s="226"/>
      <c r="S77" s="227"/>
      <c r="T77" s="98">
        <v>134</v>
      </c>
      <c r="U77" s="50">
        <f>T77+C77</f>
        <v>180</v>
      </c>
      <c r="V77" s="226"/>
      <c r="W77" s="227"/>
      <c r="X77" s="106">
        <f>D77+H77+L77+P77+T77</f>
        <v>732</v>
      </c>
      <c r="Y77" s="46">
        <f t="shared" si="4"/>
        <v>962</v>
      </c>
      <c r="Z77" s="73">
        <f t="shared" si="5"/>
        <v>732</v>
      </c>
      <c r="AA77" s="67">
        <f>AVERAGE(E77,I77,M77,Q77,U77)</f>
        <v>192.4</v>
      </c>
      <c r="AB77" s="67">
        <f>AVERAGE(E77,I77,M77,Q77,U77)-C77</f>
        <v>146.4</v>
      </c>
      <c r="AC77" s="220"/>
    </row>
    <row r="78" spans="1:29" s="38" customFormat="1" ht="15.75" customHeight="1" thickBot="1">
      <c r="A78" s="229" t="s">
        <v>190</v>
      </c>
      <c r="B78" s="230"/>
      <c r="C78" s="160">
        <v>28</v>
      </c>
      <c r="D78" s="60">
        <v>163</v>
      </c>
      <c r="E78" s="47">
        <f>C78+D78</f>
        <v>191</v>
      </c>
      <c r="F78" s="204"/>
      <c r="G78" s="228"/>
      <c r="H78" s="99">
        <v>154</v>
      </c>
      <c r="I78" s="47">
        <f>C78+H78</f>
        <v>182</v>
      </c>
      <c r="J78" s="204"/>
      <c r="K78" s="228"/>
      <c r="L78" s="99">
        <v>161</v>
      </c>
      <c r="M78" s="47">
        <f>L78+C78</f>
        <v>189</v>
      </c>
      <c r="N78" s="204"/>
      <c r="O78" s="228"/>
      <c r="P78" s="99">
        <v>171</v>
      </c>
      <c r="Q78" s="50">
        <f>P78+C78</f>
        <v>199</v>
      </c>
      <c r="R78" s="204"/>
      <c r="S78" s="228"/>
      <c r="T78" s="99">
        <v>177</v>
      </c>
      <c r="U78" s="50">
        <f>T78+C78</f>
        <v>205</v>
      </c>
      <c r="V78" s="204"/>
      <c r="W78" s="228"/>
      <c r="X78" s="107">
        <f>D78+H78+L78+P78+T78</f>
        <v>826</v>
      </c>
      <c r="Y78" s="47">
        <f t="shared" si="4"/>
        <v>966</v>
      </c>
      <c r="Z78" s="74">
        <f t="shared" si="5"/>
        <v>826</v>
      </c>
      <c r="AA78" s="68">
        <f>AVERAGE(E78,I78,M78,Q78,U78)</f>
        <v>193.2</v>
      </c>
      <c r="AB78" s="68">
        <f>AVERAGE(E78,I78,M78,Q78,U78)-C78</f>
        <v>165.2</v>
      </c>
      <c r="AC78" s="221"/>
    </row>
    <row r="79" spans="1:29" s="38" customFormat="1" ht="36" customHeight="1">
      <c r="A79" s="217" t="s">
        <v>174</v>
      </c>
      <c r="B79" s="218"/>
      <c r="C79" s="158">
        <f>SUM(C80:C82)</f>
        <v>89</v>
      </c>
      <c r="D79" s="92"/>
      <c r="E79" s="48">
        <f>SUM(E80:E82)</f>
        <v>549</v>
      </c>
      <c r="F79" s="48">
        <f>E75</f>
        <v>622</v>
      </c>
      <c r="G79" s="43" t="str">
        <f>A75</f>
        <v>Vest-Wood 1</v>
      </c>
      <c r="H79" s="101"/>
      <c r="I79" s="48">
        <f>SUM(I80:I82)</f>
        <v>596</v>
      </c>
      <c r="J79" s="48">
        <f>I71</f>
        <v>563</v>
      </c>
      <c r="K79" s="43" t="str">
        <f>A71</f>
        <v>A.E.J.</v>
      </c>
      <c r="L79" s="96"/>
      <c r="M79" s="49">
        <f>SUM(M80:M82)</f>
        <v>587</v>
      </c>
      <c r="N79" s="48">
        <f>M67</f>
        <v>515</v>
      </c>
      <c r="O79" s="43" t="str">
        <f>A67</f>
        <v>STIK</v>
      </c>
      <c r="P79" s="96"/>
      <c r="Q79" s="49">
        <f>SUM(Q80:Q82)</f>
        <v>592</v>
      </c>
      <c r="R79" s="48">
        <f>Q83</f>
        <v>492</v>
      </c>
      <c r="S79" s="43" t="str">
        <f>A83</f>
        <v>TOODE</v>
      </c>
      <c r="T79" s="96"/>
      <c r="U79" s="49">
        <f>SUM(U80:U82)</f>
        <v>499</v>
      </c>
      <c r="V79" s="48">
        <f>U87</f>
        <v>630</v>
      </c>
      <c r="W79" s="43" t="str">
        <f>A87</f>
        <v>T.E.M.</v>
      </c>
      <c r="X79" s="105">
        <f>Y79-5*C79</f>
        <v>2378</v>
      </c>
      <c r="Y79" s="36">
        <f t="shared" si="4"/>
        <v>2823</v>
      </c>
      <c r="Z79" s="75">
        <f t="shared" si="5"/>
        <v>2378</v>
      </c>
      <c r="AA79" s="37">
        <f>AVERAGE(AA80,AA81,AA82)</f>
        <v>188.19999999999996</v>
      </c>
      <c r="AB79" s="37">
        <f>AVERAGE(AB80,AB81,AB82)</f>
        <v>158.53333333333333</v>
      </c>
      <c r="AC79" s="219">
        <f>F80+J80+N80+R80+V80</f>
        <v>3</v>
      </c>
    </row>
    <row r="80" spans="1:29" s="38" customFormat="1" ht="15.75" customHeight="1">
      <c r="A80" s="222" t="s">
        <v>176</v>
      </c>
      <c r="B80" s="223"/>
      <c r="C80" s="159">
        <v>20</v>
      </c>
      <c r="D80" s="59">
        <v>148</v>
      </c>
      <c r="E80" s="50">
        <f>C80+D80</f>
        <v>168</v>
      </c>
      <c r="F80" s="224">
        <v>0</v>
      </c>
      <c r="G80" s="225"/>
      <c r="H80" s="97">
        <v>191</v>
      </c>
      <c r="I80" s="46">
        <f>C80+H80</f>
        <v>211</v>
      </c>
      <c r="J80" s="224">
        <v>1</v>
      </c>
      <c r="K80" s="225"/>
      <c r="L80" s="97">
        <v>192</v>
      </c>
      <c r="M80" s="50">
        <f>L80+C80</f>
        <v>212</v>
      </c>
      <c r="N80" s="224">
        <v>1</v>
      </c>
      <c r="O80" s="225"/>
      <c r="P80" s="97">
        <v>155</v>
      </c>
      <c r="Q80" s="50">
        <f>P80+C80</f>
        <v>175</v>
      </c>
      <c r="R80" s="224">
        <v>1</v>
      </c>
      <c r="S80" s="225"/>
      <c r="T80" s="97">
        <v>132</v>
      </c>
      <c r="U80" s="50">
        <f>T80+C80</f>
        <v>152</v>
      </c>
      <c r="V80" s="224">
        <v>0</v>
      </c>
      <c r="W80" s="225"/>
      <c r="X80" s="106">
        <f>D80+H80+L80+P80+T80</f>
        <v>818</v>
      </c>
      <c r="Y80" s="46">
        <f t="shared" si="4"/>
        <v>918</v>
      </c>
      <c r="Z80" s="73">
        <f t="shared" si="5"/>
        <v>818</v>
      </c>
      <c r="AA80" s="67">
        <f>AVERAGE(E80,I80,M80,Q80,U80)</f>
        <v>183.6</v>
      </c>
      <c r="AB80" s="67">
        <f>AVERAGE(E80,I80,M80,Q80,U80)-C80</f>
        <v>163.6</v>
      </c>
      <c r="AC80" s="220"/>
    </row>
    <row r="81" spans="1:29" s="38" customFormat="1" ht="15.75" customHeight="1">
      <c r="A81" s="222" t="s">
        <v>177</v>
      </c>
      <c r="B81" s="223"/>
      <c r="C81" s="159">
        <v>41</v>
      </c>
      <c r="D81" s="59">
        <v>140</v>
      </c>
      <c r="E81" s="50">
        <f>C81+D81</f>
        <v>181</v>
      </c>
      <c r="F81" s="226"/>
      <c r="G81" s="227"/>
      <c r="H81" s="98">
        <v>150</v>
      </c>
      <c r="I81" s="46">
        <f>C81+H81</f>
        <v>191</v>
      </c>
      <c r="J81" s="226"/>
      <c r="K81" s="227"/>
      <c r="L81" s="98">
        <v>166</v>
      </c>
      <c r="M81" s="50">
        <f>L81+C81</f>
        <v>207</v>
      </c>
      <c r="N81" s="226"/>
      <c r="O81" s="227"/>
      <c r="P81" s="98">
        <v>147</v>
      </c>
      <c r="Q81" s="50">
        <f>P81+C81</f>
        <v>188</v>
      </c>
      <c r="R81" s="226"/>
      <c r="S81" s="227"/>
      <c r="T81" s="98">
        <v>108</v>
      </c>
      <c r="U81" s="50">
        <f>T81+C81</f>
        <v>149</v>
      </c>
      <c r="V81" s="226"/>
      <c r="W81" s="227"/>
      <c r="X81" s="106">
        <f>D81+H81+L81+P81+T81</f>
        <v>711</v>
      </c>
      <c r="Y81" s="46">
        <f t="shared" si="4"/>
        <v>916</v>
      </c>
      <c r="Z81" s="73">
        <f t="shared" si="5"/>
        <v>711</v>
      </c>
      <c r="AA81" s="67">
        <f>AVERAGE(E81,I81,M81,Q81,U81)</f>
        <v>183.2</v>
      </c>
      <c r="AB81" s="67">
        <f>AVERAGE(E81,I81,M81,Q81,U81)-C81</f>
        <v>142.2</v>
      </c>
      <c r="AC81" s="220"/>
    </row>
    <row r="82" spans="1:30" s="38" customFormat="1" ht="15.75" customHeight="1" thickBot="1">
      <c r="A82" s="229" t="s">
        <v>178</v>
      </c>
      <c r="B82" s="230"/>
      <c r="C82" s="160">
        <v>28</v>
      </c>
      <c r="D82" s="60">
        <v>172</v>
      </c>
      <c r="E82" s="47">
        <f>C82+D82</f>
        <v>200</v>
      </c>
      <c r="F82" s="204"/>
      <c r="G82" s="228"/>
      <c r="H82" s="99">
        <v>166</v>
      </c>
      <c r="I82" s="47">
        <f>C82+H82</f>
        <v>194</v>
      </c>
      <c r="J82" s="204"/>
      <c r="K82" s="228"/>
      <c r="L82" s="99">
        <v>140</v>
      </c>
      <c r="M82" s="47">
        <f>L82+C82</f>
        <v>168</v>
      </c>
      <c r="N82" s="204"/>
      <c r="O82" s="228"/>
      <c r="P82" s="99">
        <v>201</v>
      </c>
      <c r="Q82" s="50">
        <f>P82+C82</f>
        <v>229</v>
      </c>
      <c r="R82" s="204"/>
      <c r="S82" s="228"/>
      <c r="T82" s="99">
        <v>170</v>
      </c>
      <c r="U82" s="50">
        <f>T82+C82</f>
        <v>198</v>
      </c>
      <c r="V82" s="204"/>
      <c r="W82" s="228"/>
      <c r="X82" s="107">
        <f>D82+H82+L82+P82+T82</f>
        <v>849</v>
      </c>
      <c r="Y82" s="47">
        <f t="shared" si="4"/>
        <v>989</v>
      </c>
      <c r="Z82" s="74">
        <f t="shared" si="5"/>
        <v>849</v>
      </c>
      <c r="AA82" s="68">
        <f>AVERAGE(E82,I82,M82,Q82,U82)</f>
        <v>197.8</v>
      </c>
      <c r="AB82" s="68">
        <f>AVERAGE(E82,I82,M82,Q82,U82)-C82</f>
        <v>169.8</v>
      </c>
      <c r="AC82" s="221"/>
      <c r="AD82" s="44"/>
    </row>
    <row r="83" spans="1:29" s="38" customFormat="1" ht="40.5" customHeight="1">
      <c r="A83" s="217" t="s">
        <v>175</v>
      </c>
      <c r="B83" s="218"/>
      <c r="C83" s="158">
        <f>SUM(C84:C86)</f>
        <v>144</v>
      </c>
      <c r="D83" s="62"/>
      <c r="E83" s="45">
        <f>SUM(E84:E86)</f>
        <v>513</v>
      </c>
      <c r="F83" s="45">
        <f>E71</f>
        <v>565</v>
      </c>
      <c r="G83" s="42" t="str">
        <f>A71</f>
        <v>A.E.J.</v>
      </c>
      <c r="H83" s="100"/>
      <c r="I83" s="45">
        <f>SUM(I84:I86)</f>
        <v>576</v>
      </c>
      <c r="J83" s="45">
        <f>I67</f>
        <v>515</v>
      </c>
      <c r="K83" s="42" t="str">
        <f>A67</f>
        <v>STIK</v>
      </c>
      <c r="L83" s="103"/>
      <c r="M83" s="69">
        <f>SUM(M84:M86)</f>
        <v>566</v>
      </c>
      <c r="N83" s="45">
        <f>M87</f>
        <v>527</v>
      </c>
      <c r="O83" s="42" t="str">
        <f>A87</f>
        <v>T.E.M.</v>
      </c>
      <c r="P83" s="103"/>
      <c r="Q83" s="69">
        <f>SUM(Q84:Q86)</f>
        <v>492</v>
      </c>
      <c r="R83" s="45">
        <f>Q79</f>
        <v>592</v>
      </c>
      <c r="S83" s="42" t="str">
        <f>A79</f>
        <v>Värska Vesi</v>
      </c>
      <c r="T83" s="103"/>
      <c r="U83" s="69">
        <f>SUM(U84:U86)</f>
        <v>518</v>
      </c>
      <c r="V83" s="45">
        <f>U75</f>
        <v>567</v>
      </c>
      <c r="W83" s="42" t="str">
        <f>A75</f>
        <v>Vest-Wood 1</v>
      </c>
      <c r="X83" s="105">
        <f>Y83-5*C83</f>
        <v>1945</v>
      </c>
      <c r="Y83" s="36">
        <f t="shared" si="4"/>
        <v>2665</v>
      </c>
      <c r="Z83" s="75">
        <f t="shared" si="5"/>
        <v>1945</v>
      </c>
      <c r="AA83" s="37">
        <f>AVERAGE(AA84,AA85,AA86)</f>
        <v>177.66666666666666</v>
      </c>
      <c r="AB83" s="37">
        <f>AVERAGE(AB84,AB85,AB86)</f>
        <v>129.66666666666666</v>
      </c>
      <c r="AC83" s="219">
        <f>F84+J84+N84+R84+V84</f>
        <v>2</v>
      </c>
    </row>
    <row r="84" spans="1:29" s="38" customFormat="1" ht="15.75" customHeight="1">
      <c r="A84" s="222" t="s">
        <v>179</v>
      </c>
      <c r="B84" s="223"/>
      <c r="C84" s="159">
        <v>42</v>
      </c>
      <c r="D84" s="59">
        <v>126</v>
      </c>
      <c r="E84" s="50">
        <f>C84+D84</f>
        <v>168</v>
      </c>
      <c r="F84" s="224">
        <v>0</v>
      </c>
      <c r="G84" s="225"/>
      <c r="H84" s="97">
        <v>149</v>
      </c>
      <c r="I84" s="46">
        <f>C84+H84</f>
        <v>191</v>
      </c>
      <c r="J84" s="224">
        <v>1</v>
      </c>
      <c r="K84" s="225"/>
      <c r="L84" s="97">
        <v>132</v>
      </c>
      <c r="M84" s="50">
        <f>L84+C84</f>
        <v>174</v>
      </c>
      <c r="N84" s="224">
        <v>1</v>
      </c>
      <c r="O84" s="225"/>
      <c r="P84" s="97">
        <v>133</v>
      </c>
      <c r="Q84" s="50">
        <f>P84+C84</f>
        <v>175</v>
      </c>
      <c r="R84" s="224">
        <v>0</v>
      </c>
      <c r="S84" s="225"/>
      <c r="T84" s="97">
        <v>130</v>
      </c>
      <c r="U84" s="50">
        <f>T84+C84</f>
        <v>172</v>
      </c>
      <c r="V84" s="224">
        <v>0</v>
      </c>
      <c r="W84" s="225"/>
      <c r="X84" s="106">
        <f>D84+H84+L84+P84+T84</f>
        <v>670</v>
      </c>
      <c r="Y84" s="46">
        <f t="shared" si="4"/>
        <v>880</v>
      </c>
      <c r="Z84" s="73">
        <f t="shared" si="5"/>
        <v>670</v>
      </c>
      <c r="AA84" s="67">
        <f>AVERAGE(E84,I84,M84,Q84,U84)</f>
        <v>176</v>
      </c>
      <c r="AB84" s="67">
        <f>AVERAGE(E84,I84,M84,Q84,U84)-C84</f>
        <v>134</v>
      </c>
      <c r="AC84" s="220"/>
    </row>
    <row r="85" spans="1:29" s="38" customFormat="1" ht="15.75" customHeight="1">
      <c r="A85" s="222" t="s">
        <v>180</v>
      </c>
      <c r="B85" s="223"/>
      <c r="C85" s="159">
        <v>60</v>
      </c>
      <c r="D85" s="59">
        <v>119</v>
      </c>
      <c r="E85" s="50">
        <f>C85+D85</f>
        <v>179</v>
      </c>
      <c r="F85" s="226"/>
      <c r="G85" s="227"/>
      <c r="H85" s="98">
        <v>95</v>
      </c>
      <c r="I85" s="46">
        <f>C85+H85</f>
        <v>155</v>
      </c>
      <c r="J85" s="226"/>
      <c r="K85" s="227"/>
      <c r="L85" s="98">
        <v>115</v>
      </c>
      <c r="M85" s="50">
        <f>L85+C85</f>
        <v>175</v>
      </c>
      <c r="N85" s="226"/>
      <c r="O85" s="227"/>
      <c r="P85" s="98">
        <v>100</v>
      </c>
      <c r="Q85" s="50">
        <f>P85+C85</f>
        <v>160</v>
      </c>
      <c r="R85" s="226"/>
      <c r="S85" s="227"/>
      <c r="T85" s="98">
        <v>120</v>
      </c>
      <c r="U85" s="50">
        <f>T85+C85</f>
        <v>180</v>
      </c>
      <c r="V85" s="226"/>
      <c r="W85" s="227"/>
      <c r="X85" s="106">
        <f>D85+H85+L85+P85+T85</f>
        <v>549</v>
      </c>
      <c r="Y85" s="46">
        <f t="shared" si="4"/>
        <v>849</v>
      </c>
      <c r="Z85" s="73">
        <f t="shared" si="5"/>
        <v>549</v>
      </c>
      <c r="AA85" s="67">
        <f>AVERAGE(E85,I85,M85,Q85,U85)</f>
        <v>169.8</v>
      </c>
      <c r="AB85" s="67">
        <f>AVERAGE(E85,I85,M85,Q85,U85)-C85</f>
        <v>109.80000000000001</v>
      </c>
      <c r="AC85" s="220"/>
    </row>
    <row r="86" spans="1:29" s="38" customFormat="1" ht="15.75" customHeight="1" thickBot="1">
      <c r="A86" s="229" t="s">
        <v>181</v>
      </c>
      <c r="B86" s="230"/>
      <c r="C86" s="160">
        <v>42</v>
      </c>
      <c r="D86" s="60">
        <v>124</v>
      </c>
      <c r="E86" s="47">
        <f>C86+D86</f>
        <v>166</v>
      </c>
      <c r="F86" s="204"/>
      <c r="G86" s="228"/>
      <c r="H86" s="99">
        <v>188</v>
      </c>
      <c r="I86" s="47">
        <f>C86+H86</f>
        <v>230</v>
      </c>
      <c r="J86" s="204"/>
      <c r="K86" s="228"/>
      <c r="L86" s="99">
        <v>175</v>
      </c>
      <c r="M86" s="47">
        <f>L86+C86</f>
        <v>217</v>
      </c>
      <c r="N86" s="204"/>
      <c r="O86" s="228"/>
      <c r="P86" s="99">
        <v>115</v>
      </c>
      <c r="Q86" s="50">
        <f>P86+C86</f>
        <v>157</v>
      </c>
      <c r="R86" s="204"/>
      <c r="S86" s="228"/>
      <c r="T86" s="99">
        <v>124</v>
      </c>
      <c r="U86" s="50">
        <f>T86+C86</f>
        <v>166</v>
      </c>
      <c r="V86" s="204"/>
      <c r="W86" s="228"/>
      <c r="X86" s="107">
        <f>D86+H86+L86+P86+T86</f>
        <v>726</v>
      </c>
      <c r="Y86" s="47">
        <f t="shared" si="4"/>
        <v>936</v>
      </c>
      <c r="Z86" s="74">
        <f t="shared" si="5"/>
        <v>726</v>
      </c>
      <c r="AA86" s="68">
        <f>AVERAGE(E86,I86,M86,Q86,U86)</f>
        <v>187.2</v>
      </c>
      <c r="AB86" s="68">
        <f>AVERAGE(E86,I86,M86,Q86,U86)-C86</f>
        <v>145.2</v>
      </c>
      <c r="AC86" s="221"/>
    </row>
    <row r="87" spans="1:29" s="38" customFormat="1" ht="42" customHeight="1">
      <c r="A87" s="217" t="s">
        <v>167</v>
      </c>
      <c r="B87" s="218"/>
      <c r="C87" s="158">
        <f>SUM(C88:C90)</f>
        <v>173</v>
      </c>
      <c r="D87" s="62"/>
      <c r="E87" s="45">
        <f>SUM(E88:E90)</f>
        <v>549</v>
      </c>
      <c r="F87" s="45">
        <f>E67</f>
        <v>561</v>
      </c>
      <c r="G87" s="42" t="str">
        <f>A67</f>
        <v>STIK</v>
      </c>
      <c r="H87" s="100"/>
      <c r="I87" s="45">
        <f>SUM(I88:I90)</f>
        <v>569</v>
      </c>
      <c r="J87" s="45">
        <f>I75</f>
        <v>523</v>
      </c>
      <c r="K87" s="42" t="str">
        <f>A75</f>
        <v>Vest-Wood 1</v>
      </c>
      <c r="L87" s="102"/>
      <c r="M87" s="49">
        <f>SUM(M88:M90)</f>
        <v>527</v>
      </c>
      <c r="N87" s="45">
        <f>M83</f>
        <v>566</v>
      </c>
      <c r="O87" s="42" t="str">
        <f>A83</f>
        <v>TOODE</v>
      </c>
      <c r="P87" s="102"/>
      <c r="Q87" s="49">
        <f>SUM(Q88:Q90)</f>
        <v>586</v>
      </c>
      <c r="R87" s="45">
        <f>Q71</f>
        <v>576</v>
      </c>
      <c r="S87" s="42" t="str">
        <f>A71</f>
        <v>A.E.J.</v>
      </c>
      <c r="T87" s="102"/>
      <c r="U87" s="49">
        <f>SUM(U88:U90)</f>
        <v>630</v>
      </c>
      <c r="V87" s="45">
        <f>U79</f>
        <v>499</v>
      </c>
      <c r="W87" s="42" t="str">
        <f>A79</f>
        <v>Värska Vesi</v>
      </c>
      <c r="X87" s="105">
        <f>Y87-5*C87</f>
        <v>1996</v>
      </c>
      <c r="Y87" s="36">
        <f t="shared" si="4"/>
        <v>2861</v>
      </c>
      <c r="Z87" s="75">
        <f t="shared" si="5"/>
        <v>1996</v>
      </c>
      <c r="AA87" s="37">
        <f>AVERAGE(AA88,AA89,AA90)</f>
        <v>190.73333333333335</v>
      </c>
      <c r="AB87" s="37">
        <f>AVERAGE(AB88,AB89,AB90)</f>
        <v>133.0666666666667</v>
      </c>
      <c r="AC87" s="219">
        <f>F88+J88+N88+R88+V88</f>
        <v>3</v>
      </c>
    </row>
    <row r="88" spans="1:29" s="38" customFormat="1" ht="15.75" customHeight="1">
      <c r="A88" s="222" t="s">
        <v>170</v>
      </c>
      <c r="B88" s="223"/>
      <c r="C88" s="159">
        <v>53</v>
      </c>
      <c r="D88" s="59">
        <v>130</v>
      </c>
      <c r="E88" s="50">
        <f>C88+D88</f>
        <v>183</v>
      </c>
      <c r="F88" s="224">
        <v>0</v>
      </c>
      <c r="G88" s="225"/>
      <c r="H88" s="97">
        <v>138</v>
      </c>
      <c r="I88" s="46">
        <f>C88+H88</f>
        <v>191</v>
      </c>
      <c r="J88" s="224">
        <v>1</v>
      </c>
      <c r="K88" s="225"/>
      <c r="L88" s="97">
        <v>131</v>
      </c>
      <c r="M88" s="50">
        <f>L88+C88</f>
        <v>184</v>
      </c>
      <c r="N88" s="224">
        <v>0</v>
      </c>
      <c r="O88" s="225"/>
      <c r="P88" s="97">
        <v>145</v>
      </c>
      <c r="Q88" s="50">
        <f>P88+C88</f>
        <v>198</v>
      </c>
      <c r="R88" s="224">
        <v>1</v>
      </c>
      <c r="S88" s="225"/>
      <c r="T88" s="97">
        <v>171</v>
      </c>
      <c r="U88" s="50">
        <f>T88+C88</f>
        <v>224</v>
      </c>
      <c r="V88" s="224">
        <v>1</v>
      </c>
      <c r="W88" s="225"/>
      <c r="X88" s="106">
        <f>D88+H88+L88+P88+T88</f>
        <v>715</v>
      </c>
      <c r="Y88" s="46">
        <f t="shared" si="4"/>
        <v>980</v>
      </c>
      <c r="Z88" s="73">
        <f t="shared" si="5"/>
        <v>715</v>
      </c>
      <c r="AA88" s="67">
        <f>AVERAGE(E88,I88,M88,Q88,U88)</f>
        <v>196</v>
      </c>
      <c r="AB88" s="67">
        <f>AVERAGE(E88,I88,M88,Q88,U88)-C88</f>
        <v>143</v>
      </c>
      <c r="AC88" s="220"/>
    </row>
    <row r="89" spans="1:29" s="38" customFormat="1" ht="15.75" customHeight="1">
      <c r="A89" s="222" t="s">
        <v>168</v>
      </c>
      <c r="B89" s="223"/>
      <c r="C89" s="159">
        <v>60</v>
      </c>
      <c r="D89" s="59">
        <v>135</v>
      </c>
      <c r="E89" s="50">
        <f>C89+D89</f>
        <v>195</v>
      </c>
      <c r="F89" s="226"/>
      <c r="G89" s="227"/>
      <c r="H89" s="98">
        <v>144</v>
      </c>
      <c r="I89" s="46">
        <f>C89+H89</f>
        <v>204</v>
      </c>
      <c r="J89" s="226"/>
      <c r="K89" s="227"/>
      <c r="L89" s="98">
        <v>123</v>
      </c>
      <c r="M89" s="50">
        <f>L89+C89</f>
        <v>183</v>
      </c>
      <c r="N89" s="226"/>
      <c r="O89" s="227"/>
      <c r="P89" s="98">
        <v>141</v>
      </c>
      <c r="Q89" s="50">
        <f>P89+C89</f>
        <v>201</v>
      </c>
      <c r="R89" s="226"/>
      <c r="S89" s="227"/>
      <c r="T89" s="98">
        <v>160</v>
      </c>
      <c r="U89" s="50">
        <f>T89+C89</f>
        <v>220</v>
      </c>
      <c r="V89" s="226"/>
      <c r="W89" s="227"/>
      <c r="X89" s="106">
        <f>D89+H89+L89+P89+T89</f>
        <v>703</v>
      </c>
      <c r="Y89" s="46">
        <f t="shared" si="4"/>
        <v>1003</v>
      </c>
      <c r="Z89" s="73">
        <f t="shared" si="5"/>
        <v>703</v>
      </c>
      <c r="AA89" s="67">
        <f>AVERAGE(E89,I89,M89,Q89,U89)</f>
        <v>200.6</v>
      </c>
      <c r="AB89" s="67">
        <f>AVERAGE(E89,I89,M89,Q89,U89)-C89</f>
        <v>140.6</v>
      </c>
      <c r="AC89" s="220"/>
    </row>
    <row r="90" spans="1:29" s="38" customFormat="1" ht="15.75" customHeight="1" thickBot="1">
      <c r="A90" s="229" t="s">
        <v>169</v>
      </c>
      <c r="B90" s="230"/>
      <c r="C90" s="160">
        <v>60</v>
      </c>
      <c r="D90" s="60">
        <v>111</v>
      </c>
      <c r="E90" s="47">
        <f>C90+D90</f>
        <v>171</v>
      </c>
      <c r="F90" s="204"/>
      <c r="G90" s="228"/>
      <c r="H90" s="99">
        <v>114</v>
      </c>
      <c r="I90" s="47">
        <f>C90+H90</f>
        <v>174</v>
      </c>
      <c r="J90" s="204"/>
      <c r="K90" s="228"/>
      <c r="L90" s="99">
        <v>100</v>
      </c>
      <c r="M90" s="47">
        <f>L90+C90</f>
        <v>160</v>
      </c>
      <c r="N90" s="204"/>
      <c r="O90" s="228"/>
      <c r="P90" s="99">
        <v>127</v>
      </c>
      <c r="Q90" s="47">
        <f>P90+C90</f>
        <v>187</v>
      </c>
      <c r="R90" s="204"/>
      <c r="S90" s="228"/>
      <c r="T90" s="99">
        <v>126</v>
      </c>
      <c r="U90" s="50">
        <f>T90+C90</f>
        <v>186</v>
      </c>
      <c r="V90" s="204"/>
      <c r="W90" s="228"/>
      <c r="X90" s="107">
        <f>D90+H90+L90+P90+T90</f>
        <v>578</v>
      </c>
      <c r="Y90" s="47">
        <f t="shared" si="4"/>
        <v>878</v>
      </c>
      <c r="Z90" s="74">
        <f t="shared" si="5"/>
        <v>578</v>
      </c>
      <c r="AA90" s="68">
        <f>AVERAGE(E90,I90,M90,Q90,U90)</f>
        <v>175.6</v>
      </c>
      <c r="AB90" s="68">
        <f>AVERAGE(E90,I90,M90,Q90,U90)-C90</f>
        <v>115.6</v>
      </c>
      <c r="AC90" s="221"/>
    </row>
    <row r="91" spans="1:29" s="40" customFormat="1" ht="11.25" customHeight="1">
      <c r="A91" s="233" t="s">
        <v>134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4"/>
      <c r="W91" s="25"/>
      <c r="X91" s="57"/>
      <c r="Z91" s="70"/>
      <c r="AA91" s="41"/>
      <c r="AB91" s="121"/>
      <c r="AC91" s="25"/>
    </row>
    <row r="92" spans="1:29" s="40" customFormat="1" ht="11.25" customHeight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4"/>
      <c r="W92" s="25"/>
      <c r="X92" s="57"/>
      <c r="Z92" s="70"/>
      <c r="AA92" s="41"/>
      <c r="AB92" s="121"/>
      <c r="AC92" s="25"/>
    </row>
    <row r="93" spans="1:29" s="40" customFormat="1" ht="23.25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4"/>
      <c r="W93" s="25"/>
      <c r="X93" s="57"/>
      <c r="Z93" s="70"/>
      <c r="AA93" s="41"/>
      <c r="AB93" s="121"/>
      <c r="AC93" s="25"/>
    </row>
    <row r="94" spans="1:29" s="40" customFormat="1" ht="21.75" customHeight="1">
      <c r="A94" s="26"/>
      <c r="B94" s="26"/>
      <c r="C94" s="162"/>
      <c r="D94" s="54"/>
      <c r="E94" s="25"/>
      <c r="F94" s="25"/>
      <c r="G94" s="25"/>
      <c r="H94" s="57"/>
      <c r="I94" s="25"/>
      <c r="J94" s="25"/>
      <c r="K94" s="25"/>
      <c r="L94" s="57"/>
      <c r="M94" s="25"/>
      <c r="N94" s="25"/>
      <c r="O94" s="25"/>
      <c r="P94" s="57"/>
      <c r="Q94" s="25"/>
      <c r="R94" s="25"/>
      <c r="S94" s="25"/>
      <c r="T94" s="57"/>
      <c r="U94" s="25"/>
      <c r="V94" s="25"/>
      <c r="W94" s="25"/>
      <c r="X94" s="57"/>
      <c r="Z94" s="70"/>
      <c r="AA94" s="41"/>
      <c r="AB94" s="121"/>
      <c r="AC94" s="25"/>
    </row>
    <row r="95" spans="1:29" s="31" customFormat="1" ht="15.75" customHeight="1">
      <c r="A95" s="209" t="s">
        <v>0</v>
      </c>
      <c r="B95" s="210"/>
      <c r="C95" s="156" t="s">
        <v>39</v>
      </c>
      <c r="D95" s="55"/>
      <c r="E95" s="27" t="s">
        <v>1</v>
      </c>
      <c r="F95" s="211" t="s">
        <v>2</v>
      </c>
      <c r="G95" s="212"/>
      <c r="H95" s="94"/>
      <c r="I95" s="27" t="s">
        <v>3</v>
      </c>
      <c r="J95" s="211" t="s">
        <v>2</v>
      </c>
      <c r="K95" s="212"/>
      <c r="L95" s="94"/>
      <c r="M95" s="27" t="s">
        <v>4</v>
      </c>
      <c r="N95" s="211" t="s">
        <v>2</v>
      </c>
      <c r="O95" s="212"/>
      <c r="P95" s="94"/>
      <c r="Q95" s="27" t="s">
        <v>5</v>
      </c>
      <c r="R95" s="211" t="s">
        <v>2</v>
      </c>
      <c r="S95" s="212"/>
      <c r="T95" s="94"/>
      <c r="U95" s="27" t="s">
        <v>6</v>
      </c>
      <c r="V95" s="211" t="s">
        <v>2</v>
      </c>
      <c r="W95" s="212"/>
      <c r="X95" s="104"/>
      <c r="Y95" s="28" t="s">
        <v>7</v>
      </c>
      <c r="Z95" s="71"/>
      <c r="AA95" s="29" t="s">
        <v>40</v>
      </c>
      <c r="AB95" s="52" t="s">
        <v>42</v>
      </c>
      <c r="AC95" s="30" t="s">
        <v>7</v>
      </c>
    </row>
    <row r="96" spans="1:29" s="31" customFormat="1" ht="15.75" customHeight="1" thickBot="1">
      <c r="A96" s="213" t="s">
        <v>9</v>
      </c>
      <c r="B96" s="214"/>
      <c r="C96" s="157"/>
      <c r="D96" s="56"/>
      <c r="E96" s="32" t="s">
        <v>10</v>
      </c>
      <c r="F96" s="211" t="s">
        <v>11</v>
      </c>
      <c r="G96" s="212"/>
      <c r="H96" s="95"/>
      <c r="I96" s="32" t="s">
        <v>10</v>
      </c>
      <c r="J96" s="215" t="s">
        <v>11</v>
      </c>
      <c r="K96" s="216"/>
      <c r="L96" s="95"/>
      <c r="M96" s="32" t="s">
        <v>10</v>
      </c>
      <c r="N96" s="215" t="s">
        <v>11</v>
      </c>
      <c r="O96" s="216"/>
      <c r="P96" s="95"/>
      <c r="Q96" s="32" t="s">
        <v>10</v>
      </c>
      <c r="R96" s="215" t="s">
        <v>11</v>
      </c>
      <c r="S96" s="216"/>
      <c r="T96" s="95"/>
      <c r="U96" s="32" t="s">
        <v>10</v>
      </c>
      <c r="V96" s="215" t="s">
        <v>11</v>
      </c>
      <c r="W96" s="216"/>
      <c r="X96" s="84"/>
      <c r="Y96" s="33" t="s">
        <v>10</v>
      </c>
      <c r="Z96" s="72"/>
      <c r="AA96" s="34" t="s">
        <v>41</v>
      </c>
      <c r="AB96" s="53" t="s">
        <v>43</v>
      </c>
      <c r="AC96" s="35" t="s">
        <v>12</v>
      </c>
    </row>
    <row r="97" spans="1:29" s="38" customFormat="1" ht="42" customHeight="1">
      <c r="A97" s="217" t="s">
        <v>135</v>
      </c>
      <c r="B97" s="218"/>
      <c r="C97" s="158">
        <f>SUM(C98:C100)</f>
        <v>180</v>
      </c>
      <c r="D97" s="62"/>
      <c r="E97" s="63">
        <f>SUM(E98:E100)</f>
        <v>580</v>
      </c>
      <c r="F97" s="46">
        <f>E117</f>
        <v>582</v>
      </c>
      <c r="G97" s="64" t="str">
        <f>A117</f>
        <v>LAJOS 2</v>
      </c>
      <c r="H97" s="96"/>
      <c r="I97" s="49">
        <f>SUM(I98:I100)</f>
        <v>581</v>
      </c>
      <c r="J97" s="49">
        <f>I113</f>
        <v>556</v>
      </c>
      <c r="K97" s="42" t="str">
        <f>A113</f>
        <v>WIRU AUTO</v>
      </c>
      <c r="L97" s="100"/>
      <c r="M97" s="45">
        <f>SUM(M98:M100)</f>
        <v>575</v>
      </c>
      <c r="N97" s="45">
        <f>M109</f>
        <v>558</v>
      </c>
      <c r="O97" s="42" t="str">
        <f>A109</f>
        <v>HOLST/ MALMBERG</v>
      </c>
      <c r="P97" s="100"/>
      <c r="Q97" s="45">
        <f>SUM(Q98:Q100)</f>
        <v>569</v>
      </c>
      <c r="R97" s="45">
        <f>Q105</f>
        <v>489</v>
      </c>
      <c r="S97" s="42" t="str">
        <f>A105</f>
        <v>AVR PROJEKT</v>
      </c>
      <c r="T97" s="100"/>
      <c r="U97" s="45">
        <f>SUM(U98:U100)</f>
        <v>548</v>
      </c>
      <c r="V97" s="45">
        <f>U101</f>
        <v>477</v>
      </c>
      <c r="W97" s="42" t="str">
        <f>A101</f>
        <v>EESTI ENERGIA</v>
      </c>
      <c r="X97" s="105">
        <f>Y97-5*C97</f>
        <v>1953</v>
      </c>
      <c r="Y97" s="36">
        <f aca="true" t="shared" si="6" ref="Y97:Y120">E97+I97+M97+Q97+U97</f>
        <v>2853</v>
      </c>
      <c r="Z97" s="73">
        <f aca="true" t="shared" si="7" ref="Z97:Z120">Y97-5*C97</f>
        <v>1953</v>
      </c>
      <c r="AA97" s="37">
        <f>AVERAGE(AA98,AA99,AA100)</f>
        <v>190.20000000000002</v>
      </c>
      <c r="AB97" s="65">
        <f>AVERAGE(AB98,AB99,AB100)</f>
        <v>130.20000000000002</v>
      </c>
      <c r="AC97" s="219">
        <f>F98+J98+N98+R98+V98</f>
        <v>4</v>
      </c>
    </row>
    <row r="98" spans="1:29" s="38" customFormat="1" ht="15.75">
      <c r="A98" s="222" t="s">
        <v>141</v>
      </c>
      <c r="B98" s="223"/>
      <c r="C98" s="159">
        <v>60</v>
      </c>
      <c r="D98" s="59">
        <v>140</v>
      </c>
      <c r="E98" s="50">
        <f>C98+D98</f>
        <v>200</v>
      </c>
      <c r="F98" s="224">
        <v>0</v>
      </c>
      <c r="G98" s="225"/>
      <c r="H98" s="97">
        <v>171</v>
      </c>
      <c r="I98" s="46">
        <f>C98+H98</f>
        <v>231</v>
      </c>
      <c r="J98" s="224">
        <v>1</v>
      </c>
      <c r="K98" s="225"/>
      <c r="L98" s="97">
        <v>157</v>
      </c>
      <c r="M98" s="50">
        <f>L98+C98</f>
        <v>217</v>
      </c>
      <c r="N98" s="224">
        <v>1</v>
      </c>
      <c r="O98" s="225"/>
      <c r="P98" s="97">
        <v>178</v>
      </c>
      <c r="Q98" s="50">
        <f>P98+C98</f>
        <v>238</v>
      </c>
      <c r="R98" s="224">
        <v>1</v>
      </c>
      <c r="S98" s="225"/>
      <c r="T98" s="97">
        <v>154</v>
      </c>
      <c r="U98" s="50">
        <f>T98+C98</f>
        <v>214</v>
      </c>
      <c r="V98" s="224">
        <v>1</v>
      </c>
      <c r="W98" s="225"/>
      <c r="X98" s="106">
        <f>D98+H98+L98+P98+T98</f>
        <v>800</v>
      </c>
      <c r="Y98" s="46">
        <f t="shared" si="6"/>
        <v>1100</v>
      </c>
      <c r="Z98" s="73">
        <f t="shared" si="7"/>
        <v>800</v>
      </c>
      <c r="AA98" s="67">
        <f>AVERAGE(E98,I98,M98,Q98,U98)</f>
        <v>220</v>
      </c>
      <c r="AB98" s="67">
        <f>AVERAGE(E98,I98,M98,Q98,U98)-C98</f>
        <v>160</v>
      </c>
      <c r="AC98" s="220"/>
    </row>
    <row r="99" spans="1:29" s="38" customFormat="1" ht="15.75">
      <c r="A99" s="222" t="s">
        <v>142</v>
      </c>
      <c r="B99" s="223"/>
      <c r="C99" s="159">
        <v>60</v>
      </c>
      <c r="D99" s="59">
        <v>82</v>
      </c>
      <c r="E99" s="50">
        <f>C99+D99</f>
        <v>142</v>
      </c>
      <c r="F99" s="226"/>
      <c r="G99" s="227"/>
      <c r="H99" s="98">
        <v>83</v>
      </c>
      <c r="I99" s="46">
        <f>C99+H99</f>
        <v>143</v>
      </c>
      <c r="J99" s="226"/>
      <c r="K99" s="227"/>
      <c r="L99" s="98">
        <v>116</v>
      </c>
      <c r="M99" s="50">
        <f>L99+C99</f>
        <v>176</v>
      </c>
      <c r="N99" s="226"/>
      <c r="O99" s="227"/>
      <c r="P99" s="98">
        <v>95</v>
      </c>
      <c r="Q99" s="50">
        <f>P99+C99</f>
        <v>155</v>
      </c>
      <c r="R99" s="226"/>
      <c r="S99" s="227"/>
      <c r="T99" s="98">
        <v>88</v>
      </c>
      <c r="U99" s="50">
        <f>T99+C99</f>
        <v>148</v>
      </c>
      <c r="V99" s="226"/>
      <c r="W99" s="227"/>
      <c r="X99" s="106">
        <f>D99+H99+L99+P99+T99</f>
        <v>464</v>
      </c>
      <c r="Y99" s="46">
        <f t="shared" si="6"/>
        <v>764</v>
      </c>
      <c r="Z99" s="73">
        <f t="shared" si="7"/>
        <v>464</v>
      </c>
      <c r="AA99" s="67">
        <f>AVERAGE(E99,I99,M99,Q99,U99)</f>
        <v>152.8</v>
      </c>
      <c r="AB99" s="67">
        <f>AVERAGE(E99,I99,M99,Q99,U99)-C99</f>
        <v>92.80000000000001</v>
      </c>
      <c r="AC99" s="220"/>
    </row>
    <row r="100" spans="1:29" s="38" customFormat="1" ht="16.5" thickBot="1">
      <c r="A100" s="229" t="s">
        <v>143</v>
      </c>
      <c r="B100" s="230"/>
      <c r="C100" s="160">
        <v>60</v>
      </c>
      <c r="D100" s="60">
        <v>178</v>
      </c>
      <c r="E100" s="50">
        <f>C100+D100</f>
        <v>238</v>
      </c>
      <c r="F100" s="204"/>
      <c r="G100" s="228"/>
      <c r="H100" s="99">
        <v>147</v>
      </c>
      <c r="I100" s="47">
        <f>C100+H100</f>
        <v>207</v>
      </c>
      <c r="J100" s="204"/>
      <c r="K100" s="228"/>
      <c r="L100" s="99">
        <v>122</v>
      </c>
      <c r="M100" s="47">
        <f>L100+C100</f>
        <v>182</v>
      </c>
      <c r="N100" s="204"/>
      <c r="O100" s="228"/>
      <c r="P100" s="99">
        <v>116</v>
      </c>
      <c r="Q100" s="50">
        <f>P100+C100</f>
        <v>176</v>
      </c>
      <c r="R100" s="204"/>
      <c r="S100" s="228"/>
      <c r="T100" s="99">
        <v>126</v>
      </c>
      <c r="U100" s="50">
        <f>T100+C100</f>
        <v>186</v>
      </c>
      <c r="V100" s="204"/>
      <c r="W100" s="228"/>
      <c r="X100" s="107">
        <f>D100+H100+L100+P100+T100</f>
        <v>689</v>
      </c>
      <c r="Y100" s="47">
        <f t="shared" si="6"/>
        <v>989</v>
      </c>
      <c r="Z100" s="74">
        <f t="shared" si="7"/>
        <v>689</v>
      </c>
      <c r="AA100" s="68">
        <f>AVERAGE(E100,I100,M100,Q100,U100)</f>
        <v>197.8</v>
      </c>
      <c r="AB100" s="68">
        <f>AVERAGE(E100,I100,M100,Q100,U100)-C100</f>
        <v>137.8</v>
      </c>
      <c r="AC100" s="221"/>
    </row>
    <row r="101" spans="1:29" s="38" customFormat="1" ht="41.25" customHeight="1">
      <c r="A101" s="217" t="s">
        <v>136</v>
      </c>
      <c r="B101" s="218"/>
      <c r="C101" s="158">
        <f>SUM(C102:C104)</f>
        <v>180</v>
      </c>
      <c r="D101" s="62"/>
      <c r="E101" s="45">
        <f>SUM(E102:E104)</f>
        <v>524</v>
      </c>
      <c r="F101" s="45">
        <f>E113</f>
        <v>567</v>
      </c>
      <c r="G101" s="42" t="str">
        <f>A113</f>
        <v>WIRU AUTO</v>
      </c>
      <c r="H101" s="100"/>
      <c r="I101" s="45">
        <f>SUM(I102:I104)</f>
        <v>551</v>
      </c>
      <c r="J101" s="45">
        <f>I109</f>
        <v>509</v>
      </c>
      <c r="K101" s="42" t="str">
        <f>A109</f>
        <v>HOLST/ MALMBERG</v>
      </c>
      <c r="L101" s="102"/>
      <c r="M101" s="49">
        <f>SUM(M102:M104)</f>
        <v>440</v>
      </c>
      <c r="N101" s="45">
        <f>M105</f>
        <v>491</v>
      </c>
      <c r="O101" s="42" t="str">
        <f>A105</f>
        <v>AVR PROJEKT</v>
      </c>
      <c r="P101" s="102"/>
      <c r="Q101" s="49">
        <f>SUM(Q102:Q104)</f>
        <v>502</v>
      </c>
      <c r="R101" s="45">
        <f>Q117</f>
        <v>602</v>
      </c>
      <c r="S101" s="42" t="str">
        <f>A117</f>
        <v>LAJOS 2</v>
      </c>
      <c r="T101" s="102"/>
      <c r="U101" s="49">
        <f>SUM(U102:U104)</f>
        <v>477</v>
      </c>
      <c r="V101" s="45">
        <f>U97</f>
        <v>548</v>
      </c>
      <c r="W101" s="42" t="str">
        <f>A97</f>
        <v>LINNAKING</v>
      </c>
      <c r="X101" s="105">
        <f>Y101-5*C101</f>
        <v>1594</v>
      </c>
      <c r="Y101" s="36">
        <f t="shared" si="6"/>
        <v>2494</v>
      </c>
      <c r="Z101" s="75">
        <f t="shared" si="7"/>
        <v>1594</v>
      </c>
      <c r="AA101" s="37">
        <f>AVERAGE(AA102,AA103,AA104)</f>
        <v>166.26666666666668</v>
      </c>
      <c r="AB101" s="37">
        <f>AVERAGE(AB102,AB103,AB104)</f>
        <v>106.26666666666665</v>
      </c>
      <c r="AC101" s="220">
        <f>F102+J102+N102+R102+V102</f>
        <v>1</v>
      </c>
    </row>
    <row r="102" spans="1:29" s="38" customFormat="1" ht="15.75" customHeight="1">
      <c r="A102" s="222" t="s">
        <v>150</v>
      </c>
      <c r="B102" s="223"/>
      <c r="C102" s="159">
        <v>60</v>
      </c>
      <c r="D102" s="59">
        <v>109</v>
      </c>
      <c r="E102" s="50">
        <f>C102+D102</f>
        <v>169</v>
      </c>
      <c r="F102" s="224">
        <v>0</v>
      </c>
      <c r="G102" s="225"/>
      <c r="H102" s="97">
        <v>108</v>
      </c>
      <c r="I102" s="46">
        <f>C102+H102</f>
        <v>168</v>
      </c>
      <c r="J102" s="224">
        <v>1</v>
      </c>
      <c r="K102" s="225"/>
      <c r="L102" s="97">
        <v>75</v>
      </c>
      <c r="M102" s="50">
        <f>L102+C102</f>
        <v>135</v>
      </c>
      <c r="N102" s="224">
        <v>0</v>
      </c>
      <c r="O102" s="225"/>
      <c r="P102" s="97">
        <v>117</v>
      </c>
      <c r="Q102" s="50">
        <f>P102+C102</f>
        <v>177</v>
      </c>
      <c r="R102" s="224">
        <v>0</v>
      </c>
      <c r="S102" s="225"/>
      <c r="T102" s="97">
        <v>93</v>
      </c>
      <c r="U102" s="50">
        <f>T102+C102</f>
        <v>153</v>
      </c>
      <c r="V102" s="224">
        <v>0</v>
      </c>
      <c r="W102" s="225"/>
      <c r="X102" s="106">
        <f>D102+H102+L102+P102+T102</f>
        <v>502</v>
      </c>
      <c r="Y102" s="46">
        <f t="shared" si="6"/>
        <v>802</v>
      </c>
      <c r="Z102" s="73">
        <f t="shared" si="7"/>
        <v>502</v>
      </c>
      <c r="AA102" s="67">
        <f>AVERAGE(E102,I102,M102,Q102,U102)</f>
        <v>160.4</v>
      </c>
      <c r="AB102" s="67">
        <f>AVERAGE(E102,I102,M102,Q102,U102)-C102</f>
        <v>100.4</v>
      </c>
      <c r="AC102" s="220"/>
    </row>
    <row r="103" spans="1:29" s="38" customFormat="1" ht="15.75" customHeight="1">
      <c r="A103" s="222" t="s">
        <v>151</v>
      </c>
      <c r="B103" s="223"/>
      <c r="C103" s="159">
        <v>60</v>
      </c>
      <c r="D103" s="59">
        <v>165</v>
      </c>
      <c r="E103" s="50">
        <f>C103+D103</f>
        <v>225</v>
      </c>
      <c r="F103" s="226"/>
      <c r="G103" s="227"/>
      <c r="H103" s="98">
        <v>161</v>
      </c>
      <c r="I103" s="46">
        <f>C103+H103</f>
        <v>221</v>
      </c>
      <c r="J103" s="226"/>
      <c r="K103" s="227"/>
      <c r="L103" s="98">
        <v>123</v>
      </c>
      <c r="M103" s="50">
        <f>L103+C103</f>
        <v>183</v>
      </c>
      <c r="N103" s="226"/>
      <c r="O103" s="227"/>
      <c r="P103" s="98">
        <v>141</v>
      </c>
      <c r="Q103" s="50">
        <f>P103+C103</f>
        <v>201</v>
      </c>
      <c r="R103" s="226"/>
      <c r="S103" s="227"/>
      <c r="T103" s="98">
        <v>121</v>
      </c>
      <c r="U103" s="50">
        <f>T103+C103</f>
        <v>181</v>
      </c>
      <c r="V103" s="226"/>
      <c r="W103" s="227"/>
      <c r="X103" s="106">
        <f>D103+H103+L103+P103+T103</f>
        <v>711</v>
      </c>
      <c r="Y103" s="46">
        <f t="shared" si="6"/>
        <v>1011</v>
      </c>
      <c r="Z103" s="73">
        <f t="shared" si="7"/>
        <v>711</v>
      </c>
      <c r="AA103" s="67">
        <f>AVERAGE(E103,I103,M103,Q103,U103)</f>
        <v>202.2</v>
      </c>
      <c r="AB103" s="67">
        <f>AVERAGE(E103,I103,M103,Q103,U103)-C103</f>
        <v>142.2</v>
      </c>
      <c r="AC103" s="220"/>
    </row>
    <row r="104" spans="1:29" s="38" customFormat="1" ht="15.75" customHeight="1" thickBot="1">
      <c r="A104" s="229" t="s">
        <v>152</v>
      </c>
      <c r="B104" s="230"/>
      <c r="C104" s="160">
        <v>60</v>
      </c>
      <c r="D104" s="60">
        <v>70</v>
      </c>
      <c r="E104" s="50">
        <f>C104+D104</f>
        <v>130</v>
      </c>
      <c r="F104" s="204"/>
      <c r="G104" s="228"/>
      <c r="H104" s="99">
        <v>102</v>
      </c>
      <c r="I104" s="47">
        <f>C104+H104</f>
        <v>162</v>
      </c>
      <c r="J104" s="204"/>
      <c r="K104" s="228"/>
      <c r="L104" s="99">
        <v>62</v>
      </c>
      <c r="M104" s="47">
        <f>L104+C104</f>
        <v>122</v>
      </c>
      <c r="N104" s="204"/>
      <c r="O104" s="228"/>
      <c r="P104" s="99">
        <v>64</v>
      </c>
      <c r="Q104" s="50">
        <f>P104+C104</f>
        <v>124</v>
      </c>
      <c r="R104" s="204"/>
      <c r="S104" s="228"/>
      <c r="T104" s="99">
        <v>83</v>
      </c>
      <c r="U104" s="50">
        <f>T104+C104</f>
        <v>143</v>
      </c>
      <c r="V104" s="204"/>
      <c r="W104" s="228"/>
      <c r="X104" s="107">
        <f>D104+H104+L104+P104+T104</f>
        <v>381</v>
      </c>
      <c r="Y104" s="47">
        <f t="shared" si="6"/>
        <v>681</v>
      </c>
      <c r="Z104" s="74">
        <f t="shared" si="7"/>
        <v>381</v>
      </c>
      <c r="AA104" s="68">
        <f>AVERAGE(E104,I104,M104,Q104,U104)</f>
        <v>136.2</v>
      </c>
      <c r="AB104" s="68">
        <f>AVERAGE(E104,I104,M104,Q104,U104)-C104</f>
        <v>76.19999999999999</v>
      </c>
      <c r="AC104" s="221"/>
    </row>
    <row r="105" spans="1:29" s="38" customFormat="1" ht="47.25" customHeight="1">
      <c r="A105" s="217" t="s">
        <v>137</v>
      </c>
      <c r="B105" s="218"/>
      <c r="C105" s="158">
        <f>SUM(C106:C108)</f>
        <v>180</v>
      </c>
      <c r="D105" s="62"/>
      <c r="E105" s="45">
        <f>SUM(E106:E108)</f>
        <v>508</v>
      </c>
      <c r="F105" s="45">
        <f>E109</f>
        <v>549</v>
      </c>
      <c r="G105" s="42" t="str">
        <f>A109</f>
        <v>HOLST/ MALMBERG</v>
      </c>
      <c r="H105" s="100"/>
      <c r="I105" s="45">
        <f>SUM(I106:I108)</f>
        <v>529</v>
      </c>
      <c r="J105" s="45">
        <f>I117</f>
        <v>507</v>
      </c>
      <c r="K105" s="42" t="str">
        <f>A117</f>
        <v>LAJOS 2</v>
      </c>
      <c r="L105" s="103"/>
      <c r="M105" s="69">
        <f>SUM(M106:M108)</f>
        <v>491</v>
      </c>
      <c r="N105" s="45">
        <f>M101</f>
        <v>440</v>
      </c>
      <c r="O105" s="42" t="str">
        <f>A101</f>
        <v>EESTI ENERGIA</v>
      </c>
      <c r="P105" s="103"/>
      <c r="Q105" s="69">
        <f>SUM(Q106:Q108)</f>
        <v>489</v>
      </c>
      <c r="R105" s="45">
        <f>Q97</f>
        <v>569</v>
      </c>
      <c r="S105" s="42" t="str">
        <f>A97</f>
        <v>LINNAKING</v>
      </c>
      <c r="T105" s="103"/>
      <c r="U105" s="69">
        <f>SUM(U106:U108)</f>
        <v>486</v>
      </c>
      <c r="V105" s="45">
        <f>U113</f>
        <v>464</v>
      </c>
      <c r="W105" s="42" t="str">
        <f>A113</f>
        <v>WIRU AUTO</v>
      </c>
      <c r="X105" s="105">
        <f>Y105-5*C105</f>
        <v>1603</v>
      </c>
      <c r="Y105" s="36">
        <f t="shared" si="6"/>
        <v>2503</v>
      </c>
      <c r="Z105" s="75">
        <f t="shared" si="7"/>
        <v>1603</v>
      </c>
      <c r="AA105" s="37">
        <f>AVERAGE(AA106,AA107,AA108)</f>
        <v>166.86666666666667</v>
      </c>
      <c r="AB105" s="37">
        <f>AVERAGE(AB106,AB107,AB108)</f>
        <v>106.86666666666667</v>
      </c>
      <c r="AC105" s="219">
        <f>F106+J106+N106+R106+V106</f>
        <v>3</v>
      </c>
    </row>
    <row r="106" spans="1:29" s="38" customFormat="1" ht="15.75" customHeight="1">
      <c r="A106" s="222" t="s">
        <v>156</v>
      </c>
      <c r="B106" s="223"/>
      <c r="C106" s="159">
        <v>60</v>
      </c>
      <c r="D106" s="59">
        <v>103</v>
      </c>
      <c r="E106" s="50">
        <f>C106+D106</f>
        <v>163</v>
      </c>
      <c r="F106" s="224">
        <v>0</v>
      </c>
      <c r="G106" s="225"/>
      <c r="H106" s="97">
        <v>121</v>
      </c>
      <c r="I106" s="46">
        <f>C106+H106</f>
        <v>181</v>
      </c>
      <c r="J106" s="224">
        <v>1</v>
      </c>
      <c r="K106" s="225"/>
      <c r="L106" s="97">
        <v>93</v>
      </c>
      <c r="M106" s="50">
        <f>L106+C106</f>
        <v>153</v>
      </c>
      <c r="N106" s="224">
        <v>1</v>
      </c>
      <c r="O106" s="225"/>
      <c r="P106" s="97">
        <v>94</v>
      </c>
      <c r="Q106" s="50">
        <f>P106+C106</f>
        <v>154</v>
      </c>
      <c r="R106" s="224">
        <v>0</v>
      </c>
      <c r="S106" s="225"/>
      <c r="T106" s="97">
        <v>94</v>
      </c>
      <c r="U106" s="50">
        <f>T106+C106</f>
        <v>154</v>
      </c>
      <c r="V106" s="224">
        <v>1</v>
      </c>
      <c r="W106" s="225"/>
      <c r="X106" s="106">
        <f>D106+H106+L106+P106+T106</f>
        <v>505</v>
      </c>
      <c r="Y106" s="46">
        <f t="shared" si="6"/>
        <v>805</v>
      </c>
      <c r="Z106" s="73">
        <f t="shared" si="7"/>
        <v>505</v>
      </c>
      <c r="AA106" s="67">
        <f>AVERAGE(E106,I106,M106,Q106,U106)</f>
        <v>161</v>
      </c>
      <c r="AB106" s="67">
        <f>AVERAGE(E106,I106,M106,Q106,U106)-C106</f>
        <v>101</v>
      </c>
      <c r="AC106" s="220"/>
    </row>
    <row r="107" spans="1:29" s="38" customFormat="1" ht="15.75" customHeight="1">
      <c r="A107" s="222" t="s">
        <v>157</v>
      </c>
      <c r="B107" s="223"/>
      <c r="C107" s="159">
        <v>60</v>
      </c>
      <c r="D107" s="59">
        <v>97</v>
      </c>
      <c r="E107" s="50">
        <f>C107+D107</f>
        <v>157</v>
      </c>
      <c r="F107" s="226"/>
      <c r="G107" s="227"/>
      <c r="H107" s="98">
        <v>116</v>
      </c>
      <c r="I107" s="46">
        <f>C107+H107</f>
        <v>176</v>
      </c>
      <c r="J107" s="226"/>
      <c r="K107" s="227"/>
      <c r="L107" s="98">
        <v>123</v>
      </c>
      <c r="M107" s="50">
        <f>L107+C107</f>
        <v>183</v>
      </c>
      <c r="N107" s="226"/>
      <c r="O107" s="227"/>
      <c r="P107" s="98">
        <v>117</v>
      </c>
      <c r="Q107" s="50">
        <f>P107+C107</f>
        <v>177</v>
      </c>
      <c r="R107" s="226"/>
      <c r="S107" s="227"/>
      <c r="T107" s="98">
        <v>107</v>
      </c>
      <c r="U107" s="50">
        <f>T107+C107</f>
        <v>167</v>
      </c>
      <c r="V107" s="226"/>
      <c r="W107" s="227"/>
      <c r="X107" s="106">
        <f>D107+H107+L107+P107+T107</f>
        <v>560</v>
      </c>
      <c r="Y107" s="46">
        <f t="shared" si="6"/>
        <v>860</v>
      </c>
      <c r="Z107" s="73">
        <f t="shared" si="7"/>
        <v>560</v>
      </c>
      <c r="AA107" s="67">
        <f>AVERAGE(E107,I107,M107,Q107,U107)</f>
        <v>172</v>
      </c>
      <c r="AB107" s="67">
        <f>AVERAGE(E107,I107,M107,Q107,U107)-C107</f>
        <v>112</v>
      </c>
      <c r="AC107" s="220"/>
    </row>
    <row r="108" spans="1:29" s="38" customFormat="1" ht="15.75" customHeight="1" thickBot="1">
      <c r="A108" s="229" t="s">
        <v>158</v>
      </c>
      <c r="B108" s="230"/>
      <c r="C108" s="160">
        <v>60</v>
      </c>
      <c r="D108" s="60">
        <v>128</v>
      </c>
      <c r="E108" s="50">
        <f>C108+D108</f>
        <v>188</v>
      </c>
      <c r="F108" s="204"/>
      <c r="G108" s="228"/>
      <c r="H108" s="99">
        <v>112</v>
      </c>
      <c r="I108" s="47">
        <f>C108+H108</f>
        <v>172</v>
      </c>
      <c r="J108" s="204"/>
      <c r="K108" s="228"/>
      <c r="L108" s="99">
        <v>95</v>
      </c>
      <c r="M108" s="47">
        <f>L108+C108</f>
        <v>155</v>
      </c>
      <c r="N108" s="204"/>
      <c r="O108" s="228"/>
      <c r="P108" s="99">
        <v>98</v>
      </c>
      <c r="Q108" s="50">
        <f>P108+C108</f>
        <v>158</v>
      </c>
      <c r="R108" s="204"/>
      <c r="S108" s="228"/>
      <c r="T108" s="99">
        <v>105</v>
      </c>
      <c r="U108" s="50">
        <f>T108+C108</f>
        <v>165</v>
      </c>
      <c r="V108" s="204"/>
      <c r="W108" s="228"/>
      <c r="X108" s="107">
        <f>D108+H108+L108+P108+T108</f>
        <v>538</v>
      </c>
      <c r="Y108" s="47">
        <f t="shared" si="6"/>
        <v>838</v>
      </c>
      <c r="Z108" s="74">
        <f t="shared" si="7"/>
        <v>538</v>
      </c>
      <c r="AA108" s="68">
        <f>AVERAGE(E108,I108,M108,Q108,U108)</f>
        <v>167.6</v>
      </c>
      <c r="AB108" s="68">
        <f>AVERAGE(E108,I108,M108,Q108,U108)-C108</f>
        <v>107.6</v>
      </c>
      <c r="AC108" s="221"/>
    </row>
    <row r="109" spans="1:29" s="38" customFormat="1" ht="36" customHeight="1">
      <c r="A109" s="217" t="s">
        <v>138</v>
      </c>
      <c r="B109" s="218"/>
      <c r="C109" s="158">
        <f>SUM(C110:C112)</f>
        <v>133</v>
      </c>
      <c r="D109" s="92"/>
      <c r="E109" s="48">
        <f>SUM(E110:E112)</f>
        <v>549</v>
      </c>
      <c r="F109" s="48">
        <f>E105</f>
        <v>508</v>
      </c>
      <c r="G109" s="43" t="str">
        <f>A105</f>
        <v>AVR PROJEKT</v>
      </c>
      <c r="H109" s="101"/>
      <c r="I109" s="48">
        <f>SUM(I110:I112)</f>
        <v>509</v>
      </c>
      <c r="J109" s="48">
        <f>I101</f>
        <v>551</v>
      </c>
      <c r="K109" s="43" t="str">
        <f>A101</f>
        <v>EESTI ENERGIA</v>
      </c>
      <c r="L109" s="96"/>
      <c r="M109" s="49">
        <f>SUM(M110:M112)</f>
        <v>558</v>
      </c>
      <c r="N109" s="48">
        <f>M97</f>
        <v>575</v>
      </c>
      <c r="O109" s="43" t="str">
        <f>A97</f>
        <v>LINNAKING</v>
      </c>
      <c r="P109" s="96"/>
      <c r="Q109" s="49">
        <f>SUM(Q110:Q112)</f>
        <v>567</v>
      </c>
      <c r="R109" s="48">
        <f>Q113</f>
        <v>541</v>
      </c>
      <c r="S109" s="43" t="str">
        <f>A113</f>
        <v>WIRU AUTO</v>
      </c>
      <c r="T109" s="96"/>
      <c r="U109" s="49">
        <f>SUM(U110:U112)</f>
        <v>593</v>
      </c>
      <c r="V109" s="48">
        <f>U117</f>
        <v>533</v>
      </c>
      <c r="W109" s="43" t="str">
        <f>A117</f>
        <v>LAJOS 2</v>
      </c>
      <c r="X109" s="105">
        <f>Y109-5*C109</f>
        <v>2111</v>
      </c>
      <c r="Y109" s="36">
        <f t="shared" si="6"/>
        <v>2776</v>
      </c>
      <c r="Z109" s="75">
        <f t="shared" si="7"/>
        <v>2111</v>
      </c>
      <c r="AA109" s="37">
        <f>AVERAGE(AA110,AA111,AA112)</f>
        <v>185.0666666666667</v>
      </c>
      <c r="AB109" s="37">
        <f>AVERAGE(AB110,AB111,AB112)</f>
        <v>140.73333333333332</v>
      </c>
      <c r="AC109" s="219">
        <f>F110+J110+N110+R110+V110</f>
        <v>3</v>
      </c>
    </row>
    <row r="110" spans="1:29" s="38" customFormat="1" ht="15.75" customHeight="1">
      <c r="A110" s="222" t="s">
        <v>147</v>
      </c>
      <c r="B110" s="223"/>
      <c r="C110" s="159">
        <v>43</v>
      </c>
      <c r="D110" s="59">
        <v>158</v>
      </c>
      <c r="E110" s="50">
        <f>C110+D110</f>
        <v>201</v>
      </c>
      <c r="F110" s="224">
        <v>1</v>
      </c>
      <c r="G110" s="225"/>
      <c r="H110" s="97">
        <v>99</v>
      </c>
      <c r="I110" s="46">
        <f>C110+H110</f>
        <v>142</v>
      </c>
      <c r="J110" s="224">
        <v>0</v>
      </c>
      <c r="K110" s="225"/>
      <c r="L110" s="97">
        <v>137</v>
      </c>
      <c r="M110" s="50">
        <f>L110+C110</f>
        <v>180</v>
      </c>
      <c r="N110" s="224">
        <v>0</v>
      </c>
      <c r="O110" s="225"/>
      <c r="P110" s="97">
        <v>163</v>
      </c>
      <c r="Q110" s="50">
        <f>P110+C110</f>
        <v>206</v>
      </c>
      <c r="R110" s="224">
        <v>1</v>
      </c>
      <c r="S110" s="225"/>
      <c r="T110" s="97">
        <v>186</v>
      </c>
      <c r="U110" s="50">
        <f>T110+C110</f>
        <v>229</v>
      </c>
      <c r="V110" s="224">
        <v>1</v>
      </c>
      <c r="W110" s="225"/>
      <c r="X110" s="106">
        <f>D110+H110+L110+P110+T110</f>
        <v>743</v>
      </c>
      <c r="Y110" s="46">
        <f t="shared" si="6"/>
        <v>958</v>
      </c>
      <c r="Z110" s="73">
        <f t="shared" si="7"/>
        <v>743</v>
      </c>
      <c r="AA110" s="67">
        <f>AVERAGE(E110,I110,M110,Q110,U110)</f>
        <v>191.6</v>
      </c>
      <c r="AB110" s="67">
        <f>AVERAGE(E110,I110,M110,Q110,U110)-C110</f>
        <v>148.6</v>
      </c>
      <c r="AC110" s="220"/>
    </row>
    <row r="111" spans="1:29" s="38" customFormat="1" ht="15.75" customHeight="1">
      <c r="A111" s="222" t="s">
        <v>148</v>
      </c>
      <c r="B111" s="223"/>
      <c r="C111" s="159">
        <v>47</v>
      </c>
      <c r="D111" s="59">
        <v>131</v>
      </c>
      <c r="E111" s="50">
        <f>C111+D111</f>
        <v>178</v>
      </c>
      <c r="F111" s="226"/>
      <c r="G111" s="227"/>
      <c r="H111" s="98">
        <v>127</v>
      </c>
      <c r="I111" s="46">
        <f>C111+H111</f>
        <v>174</v>
      </c>
      <c r="J111" s="226"/>
      <c r="K111" s="227"/>
      <c r="L111" s="98">
        <v>162</v>
      </c>
      <c r="M111" s="50">
        <f>L111+C111</f>
        <v>209</v>
      </c>
      <c r="N111" s="226"/>
      <c r="O111" s="227"/>
      <c r="P111" s="98">
        <v>107</v>
      </c>
      <c r="Q111" s="50">
        <f>P111+C111</f>
        <v>154</v>
      </c>
      <c r="R111" s="226"/>
      <c r="S111" s="227"/>
      <c r="T111" s="98">
        <v>125</v>
      </c>
      <c r="U111" s="50">
        <f>T111+C111</f>
        <v>172</v>
      </c>
      <c r="V111" s="226"/>
      <c r="W111" s="227"/>
      <c r="X111" s="106">
        <f>D111+H111+L111+P111+T111</f>
        <v>652</v>
      </c>
      <c r="Y111" s="46">
        <f t="shared" si="6"/>
        <v>887</v>
      </c>
      <c r="Z111" s="73">
        <f t="shared" si="7"/>
        <v>652</v>
      </c>
      <c r="AA111" s="67">
        <f>AVERAGE(E111,I111,M111,Q111,U111)</f>
        <v>177.4</v>
      </c>
      <c r="AB111" s="67">
        <f>AVERAGE(E111,I111,M111,Q111,U111)-C111</f>
        <v>130.4</v>
      </c>
      <c r="AC111" s="220"/>
    </row>
    <row r="112" spans="1:30" s="38" customFormat="1" ht="15.75" customHeight="1" thickBot="1">
      <c r="A112" s="229" t="s">
        <v>149</v>
      </c>
      <c r="B112" s="230"/>
      <c r="C112" s="160">
        <v>43</v>
      </c>
      <c r="D112" s="60">
        <v>127</v>
      </c>
      <c r="E112" s="50">
        <f>C112+D112</f>
        <v>170</v>
      </c>
      <c r="F112" s="204"/>
      <c r="G112" s="228"/>
      <c r="H112" s="99">
        <v>150</v>
      </c>
      <c r="I112" s="47">
        <f>C112+H112</f>
        <v>193</v>
      </c>
      <c r="J112" s="204"/>
      <c r="K112" s="228"/>
      <c r="L112" s="99">
        <v>126</v>
      </c>
      <c r="M112" s="47">
        <f>L112+C112</f>
        <v>169</v>
      </c>
      <c r="N112" s="204"/>
      <c r="O112" s="228"/>
      <c r="P112" s="99">
        <v>164</v>
      </c>
      <c r="Q112" s="50">
        <f>P112+C112</f>
        <v>207</v>
      </c>
      <c r="R112" s="204"/>
      <c r="S112" s="228"/>
      <c r="T112" s="99">
        <v>149</v>
      </c>
      <c r="U112" s="50">
        <f>T112+C112</f>
        <v>192</v>
      </c>
      <c r="V112" s="204"/>
      <c r="W112" s="228"/>
      <c r="X112" s="107">
        <f>D112+H112+L112+P112+T112</f>
        <v>716</v>
      </c>
      <c r="Y112" s="47">
        <f t="shared" si="6"/>
        <v>931</v>
      </c>
      <c r="Z112" s="74">
        <f t="shared" si="7"/>
        <v>716</v>
      </c>
      <c r="AA112" s="68">
        <f>AVERAGE(E112,I112,M112,Q112,U112)</f>
        <v>186.2</v>
      </c>
      <c r="AB112" s="68">
        <f>AVERAGE(E112,I112,M112,Q112,U112)-C112</f>
        <v>143.2</v>
      </c>
      <c r="AC112" s="221"/>
      <c r="AD112" s="44"/>
    </row>
    <row r="113" spans="1:29" s="38" customFormat="1" ht="40.5" customHeight="1">
      <c r="A113" s="217" t="s">
        <v>139</v>
      </c>
      <c r="B113" s="218"/>
      <c r="C113" s="158">
        <f>SUM(C114:C116)</f>
        <v>150</v>
      </c>
      <c r="D113" s="62"/>
      <c r="E113" s="45">
        <f>SUM(E114:E116)</f>
        <v>567</v>
      </c>
      <c r="F113" s="45">
        <f>E101</f>
        <v>524</v>
      </c>
      <c r="G113" s="42" t="str">
        <f>A101</f>
        <v>EESTI ENERGIA</v>
      </c>
      <c r="H113" s="100"/>
      <c r="I113" s="45">
        <f>SUM(I114:I116)</f>
        <v>556</v>
      </c>
      <c r="J113" s="45">
        <f>I97</f>
        <v>581</v>
      </c>
      <c r="K113" s="42" t="str">
        <f>A97</f>
        <v>LINNAKING</v>
      </c>
      <c r="L113" s="103"/>
      <c r="M113" s="69">
        <f>SUM(M114:M116)</f>
        <v>541</v>
      </c>
      <c r="N113" s="45">
        <f>M117</f>
        <v>501</v>
      </c>
      <c r="O113" s="42" t="str">
        <f>A117</f>
        <v>LAJOS 2</v>
      </c>
      <c r="P113" s="103"/>
      <c r="Q113" s="69">
        <f>SUM(Q114:Q116)</f>
        <v>541</v>
      </c>
      <c r="R113" s="45">
        <f>Q109</f>
        <v>567</v>
      </c>
      <c r="S113" s="42" t="str">
        <f>A109</f>
        <v>HOLST/ MALMBERG</v>
      </c>
      <c r="T113" s="103"/>
      <c r="U113" s="69">
        <f>SUM(U114:U116)</f>
        <v>464</v>
      </c>
      <c r="V113" s="45">
        <f>U105</f>
        <v>486</v>
      </c>
      <c r="W113" s="42" t="str">
        <f>A105</f>
        <v>AVR PROJEKT</v>
      </c>
      <c r="X113" s="105">
        <f>Y113-5*C113</f>
        <v>1919</v>
      </c>
      <c r="Y113" s="36">
        <f t="shared" si="6"/>
        <v>2669</v>
      </c>
      <c r="Z113" s="75">
        <f t="shared" si="7"/>
        <v>1919</v>
      </c>
      <c r="AA113" s="37">
        <f>AVERAGE(AA114,AA115,AA116)</f>
        <v>177.9333333333333</v>
      </c>
      <c r="AB113" s="37">
        <f>AVERAGE(AB114,AB115,AB116)</f>
        <v>127.93333333333334</v>
      </c>
      <c r="AC113" s="219">
        <f>F114+J114+N114+R114+V114</f>
        <v>2</v>
      </c>
    </row>
    <row r="114" spans="1:29" s="38" customFormat="1" ht="15.75" customHeight="1">
      <c r="A114" s="222" t="s">
        <v>153</v>
      </c>
      <c r="B114" s="223"/>
      <c r="C114" s="159">
        <v>52</v>
      </c>
      <c r="D114" s="59">
        <v>159</v>
      </c>
      <c r="E114" s="50">
        <f>C114+D114</f>
        <v>211</v>
      </c>
      <c r="F114" s="224">
        <v>1</v>
      </c>
      <c r="G114" s="225"/>
      <c r="H114" s="97">
        <v>142</v>
      </c>
      <c r="I114" s="46">
        <f>C114+H114</f>
        <v>194</v>
      </c>
      <c r="J114" s="224">
        <v>0</v>
      </c>
      <c r="K114" s="225"/>
      <c r="L114" s="97">
        <v>162</v>
      </c>
      <c r="M114" s="50">
        <f>L114+C114</f>
        <v>214</v>
      </c>
      <c r="N114" s="224">
        <v>1</v>
      </c>
      <c r="O114" s="225"/>
      <c r="P114" s="97">
        <v>169</v>
      </c>
      <c r="Q114" s="50">
        <f>P114+C114</f>
        <v>221</v>
      </c>
      <c r="R114" s="224">
        <v>0</v>
      </c>
      <c r="S114" s="225"/>
      <c r="T114" s="97">
        <v>118</v>
      </c>
      <c r="U114" s="50">
        <f>T114+C114</f>
        <v>170</v>
      </c>
      <c r="V114" s="224">
        <v>0</v>
      </c>
      <c r="W114" s="225"/>
      <c r="X114" s="106">
        <f>D114+H114+L114+P114+T114</f>
        <v>750</v>
      </c>
      <c r="Y114" s="46">
        <f t="shared" si="6"/>
        <v>1010</v>
      </c>
      <c r="Z114" s="73">
        <f t="shared" si="7"/>
        <v>750</v>
      </c>
      <c r="AA114" s="67">
        <f>AVERAGE(E114,I114,M114,Q114,U114)</f>
        <v>202</v>
      </c>
      <c r="AB114" s="67">
        <f>AVERAGE(E114,I114,M114,Q114,U114)-C114</f>
        <v>150</v>
      </c>
      <c r="AC114" s="220"/>
    </row>
    <row r="115" spans="1:29" s="38" customFormat="1" ht="15.75" customHeight="1">
      <c r="A115" s="222" t="s">
        <v>154</v>
      </c>
      <c r="B115" s="223"/>
      <c r="C115" s="159">
        <v>57</v>
      </c>
      <c r="D115" s="59">
        <v>113</v>
      </c>
      <c r="E115" s="50">
        <f>C115+D115</f>
        <v>170</v>
      </c>
      <c r="F115" s="226"/>
      <c r="G115" s="227"/>
      <c r="H115" s="98">
        <v>128</v>
      </c>
      <c r="I115" s="46">
        <f>C115+H115</f>
        <v>185</v>
      </c>
      <c r="J115" s="226"/>
      <c r="K115" s="227"/>
      <c r="L115" s="98">
        <v>97</v>
      </c>
      <c r="M115" s="50">
        <f>L115+C115</f>
        <v>154</v>
      </c>
      <c r="N115" s="226"/>
      <c r="O115" s="227"/>
      <c r="P115" s="98">
        <v>112</v>
      </c>
      <c r="Q115" s="50">
        <f>P115+C115</f>
        <v>169</v>
      </c>
      <c r="R115" s="226"/>
      <c r="S115" s="227"/>
      <c r="T115" s="98">
        <v>110</v>
      </c>
      <c r="U115" s="50">
        <f>T115+C115</f>
        <v>167</v>
      </c>
      <c r="V115" s="226"/>
      <c r="W115" s="227"/>
      <c r="X115" s="106">
        <f>D115+H115+L115+P115+T115</f>
        <v>560</v>
      </c>
      <c r="Y115" s="46">
        <f t="shared" si="6"/>
        <v>845</v>
      </c>
      <c r="Z115" s="73">
        <f t="shared" si="7"/>
        <v>560</v>
      </c>
      <c r="AA115" s="67">
        <f>AVERAGE(E115,I115,M115,Q115,U115)</f>
        <v>169</v>
      </c>
      <c r="AB115" s="67">
        <f>AVERAGE(E115,I115,M115,Q115,U115)-C115</f>
        <v>112</v>
      </c>
      <c r="AC115" s="220"/>
    </row>
    <row r="116" spans="1:29" s="38" customFormat="1" ht="15.75" customHeight="1" thickBot="1">
      <c r="A116" s="229" t="s">
        <v>155</v>
      </c>
      <c r="B116" s="230"/>
      <c r="C116" s="160">
        <v>41</v>
      </c>
      <c r="D116" s="60">
        <v>145</v>
      </c>
      <c r="E116" s="50">
        <f>C116+D116</f>
        <v>186</v>
      </c>
      <c r="F116" s="204"/>
      <c r="G116" s="228"/>
      <c r="H116" s="99">
        <v>136</v>
      </c>
      <c r="I116" s="47">
        <f>C116+H116</f>
        <v>177</v>
      </c>
      <c r="J116" s="204"/>
      <c r="K116" s="228"/>
      <c r="L116" s="99">
        <v>132</v>
      </c>
      <c r="M116" s="47">
        <f>L116+C116</f>
        <v>173</v>
      </c>
      <c r="N116" s="204"/>
      <c r="O116" s="228"/>
      <c r="P116" s="99">
        <v>110</v>
      </c>
      <c r="Q116" s="50">
        <f>P116+C116</f>
        <v>151</v>
      </c>
      <c r="R116" s="204"/>
      <c r="S116" s="228"/>
      <c r="T116" s="99">
        <v>86</v>
      </c>
      <c r="U116" s="50">
        <f>T116+C116</f>
        <v>127</v>
      </c>
      <c r="V116" s="204"/>
      <c r="W116" s="228"/>
      <c r="X116" s="107">
        <f>D116+H116+L116+P116+T116</f>
        <v>609</v>
      </c>
      <c r="Y116" s="47">
        <f t="shared" si="6"/>
        <v>814</v>
      </c>
      <c r="Z116" s="74">
        <f t="shared" si="7"/>
        <v>609</v>
      </c>
      <c r="AA116" s="68">
        <f>AVERAGE(E116,I116,M116,Q116,U116)</f>
        <v>162.8</v>
      </c>
      <c r="AB116" s="68">
        <f>AVERAGE(E116,I116,M116,Q116,U116)-C116</f>
        <v>121.80000000000001</v>
      </c>
      <c r="AC116" s="221"/>
    </row>
    <row r="117" spans="1:29" s="38" customFormat="1" ht="42" customHeight="1">
      <c r="A117" s="217" t="s">
        <v>140</v>
      </c>
      <c r="B117" s="218"/>
      <c r="C117" s="158">
        <f>SUM(C118:C120)</f>
        <v>154</v>
      </c>
      <c r="D117" s="62"/>
      <c r="E117" s="45">
        <f>SUM(E118:E120)</f>
        <v>582</v>
      </c>
      <c r="F117" s="45">
        <f>E97</f>
        <v>580</v>
      </c>
      <c r="G117" s="42" t="str">
        <f>A97</f>
        <v>LINNAKING</v>
      </c>
      <c r="H117" s="100"/>
      <c r="I117" s="45">
        <f>SUM(I118:I120)</f>
        <v>507</v>
      </c>
      <c r="J117" s="45">
        <f>I105</f>
        <v>529</v>
      </c>
      <c r="K117" s="42" t="str">
        <f>A105</f>
        <v>AVR PROJEKT</v>
      </c>
      <c r="L117" s="102"/>
      <c r="M117" s="49">
        <f>SUM(M118:M120)</f>
        <v>501</v>
      </c>
      <c r="N117" s="45">
        <f>M113</f>
        <v>541</v>
      </c>
      <c r="O117" s="42" t="str">
        <f>A113</f>
        <v>WIRU AUTO</v>
      </c>
      <c r="P117" s="102"/>
      <c r="Q117" s="49">
        <f>SUM(Q118:Q120)</f>
        <v>602</v>
      </c>
      <c r="R117" s="45">
        <f>Q101</f>
        <v>502</v>
      </c>
      <c r="S117" s="42" t="str">
        <f>A101</f>
        <v>EESTI ENERGIA</v>
      </c>
      <c r="T117" s="102"/>
      <c r="U117" s="49">
        <f>SUM(U118:U120)</f>
        <v>533</v>
      </c>
      <c r="V117" s="45">
        <f>U109</f>
        <v>593</v>
      </c>
      <c r="W117" s="42" t="str">
        <f>A109</f>
        <v>HOLST/ MALMBERG</v>
      </c>
      <c r="X117" s="105">
        <f>Y117-5*C117</f>
        <v>1955</v>
      </c>
      <c r="Y117" s="36">
        <f t="shared" si="6"/>
        <v>2725</v>
      </c>
      <c r="Z117" s="75">
        <f t="shared" si="7"/>
        <v>1955</v>
      </c>
      <c r="AA117" s="37">
        <f>AVERAGE(AA118,AA119,AA120)</f>
        <v>181.66666666666666</v>
      </c>
      <c r="AB117" s="37">
        <f>AVERAGE(AB118,AB119,AB120)</f>
        <v>130.33333333333334</v>
      </c>
      <c r="AC117" s="219">
        <f>F118+J118+N118+R118+V118</f>
        <v>2</v>
      </c>
    </row>
    <row r="118" spans="1:29" s="38" customFormat="1" ht="15.75" customHeight="1">
      <c r="A118" s="222" t="s">
        <v>144</v>
      </c>
      <c r="B118" s="223"/>
      <c r="C118" s="159">
        <v>37</v>
      </c>
      <c r="D118" s="59">
        <v>157</v>
      </c>
      <c r="E118" s="50">
        <f>C118+D118</f>
        <v>194</v>
      </c>
      <c r="F118" s="224">
        <v>1</v>
      </c>
      <c r="G118" s="225"/>
      <c r="H118" s="97">
        <v>131</v>
      </c>
      <c r="I118" s="46">
        <f>C118+H118</f>
        <v>168</v>
      </c>
      <c r="J118" s="224">
        <v>0</v>
      </c>
      <c r="K118" s="225"/>
      <c r="L118" s="97">
        <v>138</v>
      </c>
      <c r="M118" s="50">
        <f>L118+C118</f>
        <v>175</v>
      </c>
      <c r="N118" s="224">
        <v>0</v>
      </c>
      <c r="O118" s="225"/>
      <c r="P118" s="97">
        <v>164</v>
      </c>
      <c r="Q118" s="50">
        <f>P118+C118</f>
        <v>201</v>
      </c>
      <c r="R118" s="224">
        <v>1</v>
      </c>
      <c r="S118" s="225"/>
      <c r="T118" s="97">
        <v>170</v>
      </c>
      <c r="U118" s="50">
        <f>T118+C118</f>
        <v>207</v>
      </c>
      <c r="V118" s="224">
        <v>0</v>
      </c>
      <c r="W118" s="225"/>
      <c r="X118" s="106">
        <f>D118+H118+L118+P118+T118</f>
        <v>760</v>
      </c>
      <c r="Y118" s="46">
        <f t="shared" si="6"/>
        <v>945</v>
      </c>
      <c r="Z118" s="73">
        <f t="shared" si="7"/>
        <v>760</v>
      </c>
      <c r="AA118" s="67">
        <f>AVERAGE(E118,I118,M118,Q118,U118)</f>
        <v>189</v>
      </c>
      <c r="AB118" s="67">
        <f>AVERAGE(E118,I118,M118,Q118,U118)-C118</f>
        <v>152</v>
      </c>
      <c r="AC118" s="220"/>
    </row>
    <row r="119" spans="1:29" s="38" customFormat="1" ht="15.75" customHeight="1">
      <c r="A119" s="222" t="s">
        <v>145</v>
      </c>
      <c r="B119" s="223"/>
      <c r="C119" s="159">
        <v>57</v>
      </c>
      <c r="D119" s="59">
        <v>116</v>
      </c>
      <c r="E119" s="50">
        <f>C119+D119</f>
        <v>173</v>
      </c>
      <c r="F119" s="226"/>
      <c r="G119" s="227"/>
      <c r="H119" s="98">
        <v>108</v>
      </c>
      <c r="I119" s="46">
        <f>C119+H119</f>
        <v>165</v>
      </c>
      <c r="J119" s="226"/>
      <c r="K119" s="227"/>
      <c r="L119" s="98">
        <v>118</v>
      </c>
      <c r="M119" s="50">
        <f>L119+C119</f>
        <v>175</v>
      </c>
      <c r="N119" s="226"/>
      <c r="O119" s="227"/>
      <c r="P119" s="98">
        <v>139</v>
      </c>
      <c r="Q119" s="50">
        <f>P119+C119</f>
        <v>196</v>
      </c>
      <c r="R119" s="226"/>
      <c r="S119" s="227"/>
      <c r="T119" s="98">
        <v>116</v>
      </c>
      <c r="U119" s="50">
        <f>T119+C119</f>
        <v>173</v>
      </c>
      <c r="V119" s="226"/>
      <c r="W119" s="227"/>
      <c r="X119" s="106">
        <f>D119+H119+L119+P119+T119</f>
        <v>597</v>
      </c>
      <c r="Y119" s="46">
        <f t="shared" si="6"/>
        <v>882</v>
      </c>
      <c r="Z119" s="73">
        <f t="shared" si="7"/>
        <v>597</v>
      </c>
      <c r="AA119" s="67">
        <f>AVERAGE(E119,I119,M119,Q119,U119)</f>
        <v>176.4</v>
      </c>
      <c r="AB119" s="67">
        <f>AVERAGE(E119,I119,M119,Q119,U119)-C119</f>
        <v>119.4</v>
      </c>
      <c r="AC119" s="220"/>
    </row>
    <row r="120" spans="1:29" s="38" customFormat="1" ht="15.75" customHeight="1" thickBot="1">
      <c r="A120" s="229" t="s">
        <v>146</v>
      </c>
      <c r="B120" s="230"/>
      <c r="C120" s="160">
        <v>60</v>
      </c>
      <c r="D120" s="60">
        <v>155</v>
      </c>
      <c r="E120" s="50">
        <f>C120+D120</f>
        <v>215</v>
      </c>
      <c r="F120" s="204"/>
      <c r="G120" s="228"/>
      <c r="H120" s="99">
        <v>114</v>
      </c>
      <c r="I120" s="47">
        <f>C120+H120</f>
        <v>174</v>
      </c>
      <c r="J120" s="204"/>
      <c r="K120" s="228"/>
      <c r="L120" s="99">
        <v>91</v>
      </c>
      <c r="M120" s="47">
        <f>L120+C120</f>
        <v>151</v>
      </c>
      <c r="N120" s="204"/>
      <c r="O120" s="228"/>
      <c r="P120" s="99">
        <v>145</v>
      </c>
      <c r="Q120" s="50">
        <f>P120+C120</f>
        <v>205</v>
      </c>
      <c r="R120" s="204"/>
      <c r="S120" s="228"/>
      <c r="T120" s="99">
        <v>93</v>
      </c>
      <c r="U120" s="50">
        <f>T120+C120</f>
        <v>153</v>
      </c>
      <c r="V120" s="204"/>
      <c r="W120" s="228"/>
      <c r="X120" s="107">
        <f>D120+H120+L120+P120+T120</f>
        <v>598</v>
      </c>
      <c r="Y120" s="47">
        <f t="shared" si="6"/>
        <v>898</v>
      </c>
      <c r="Z120" s="74">
        <f t="shared" si="7"/>
        <v>598</v>
      </c>
      <c r="AA120" s="68">
        <f>AVERAGE(E120,I120,M120,Q120,U120)</f>
        <v>179.6</v>
      </c>
      <c r="AB120" s="68">
        <f>AVERAGE(E120,I120,M120,Q120,U120)-C120</f>
        <v>119.6</v>
      </c>
      <c r="AC120" s="221"/>
    </row>
    <row r="121" ht="7.5" customHeight="1"/>
    <row r="122" spans="1:29" s="40" customFormat="1" ht="11.25" customHeight="1">
      <c r="A122" s="233" t="s">
        <v>104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4"/>
      <c r="W122" s="25"/>
      <c r="X122" s="57"/>
      <c r="Z122" s="70"/>
      <c r="AA122" s="41"/>
      <c r="AB122" s="121"/>
      <c r="AC122" s="25"/>
    </row>
    <row r="123" spans="1:29" s="40" customFormat="1" ht="11.25" customHeight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4"/>
      <c r="W123" s="25"/>
      <c r="X123" s="57"/>
      <c r="Z123" s="70"/>
      <c r="AA123" s="41"/>
      <c r="AB123" s="121"/>
      <c r="AC123" s="25"/>
    </row>
    <row r="124" spans="1:29" s="40" customFormat="1" ht="23.2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4"/>
      <c r="W124" s="25"/>
      <c r="X124" s="57"/>
      <c r="Z124" s="70"/>
      <c r="AA124" s="41"/>
      <c r="AB124" s="121"/>
      <c r="AC124" s="25"/>
    </row>
    <row r="125" spans="1:29" s="40" customFormat="1" ht="12" customHeight="1">
      <c r="A125" s="26"/>
      <c r="B125" s="26"/>
      <c r="C125" s="162"/>
      <c r="D125" s="54"/>
      <c r="E125" s="25"/>
      <c r="F125" s="25"/>
      <c r="G125" s="25"/>
      <c r="H125" s="57"/>
      <c r="I125" s="25"/>
      <c r="J125" s="25"/>
      <c r="K125" s="25"/>
      <c r="L125" s="57"/>
      <c r="M125" s="25"/>
      <c r="N125" s="25"/>
      <c r="O125" s="25"/>
      <c r="P125" s="57"/>
      <c r="Q125" s="25"/>
      <c r="R125" s="25"/>
      <c r="S125" s="25"/>
      <c r="T125" s="57"/>
      <c r="U125" s="25"/>
      <c r="V125" s="25"/>
      <c r="W125" s="25"/>
      <c r="X125" s="57"/>
      <c r="Z125" s="70"/>
      <c r="AA125" s="41"/>
      <c r="AB125" s="121"/>
      <c r="AC125" s="25"/>
    </row>
    <row r="126" spans="1:29" s="31" customFormat="1" ht="15.75" customHeight="1">
      <c r="A126" s="209" t="s">
        <v>0</v>
      </c>
      <c r="B126" s="210"/>
      <c r="C126" s="156" t="s">
        <v>39</v>
      </c>
      <c r="D126" s="55"/>
      <c r="E126" s="27" t="s">
        <v>1</v>
      </c>
      <c r="F126" s="211" t="s">
        <v>2</v>
      </c>
      <c r="G126" s="212"/>
      <c r="H126" s="94"/>
      <c r="I126" s="27" t="s">
        <v>3</v>
      </c>
      <c r="J126" s="211" t="s">
        <v>2</v>
      </c>
      <c r="K126" s="212"/>
      <c r="L126" s="94"/>
      <c r="M126" s="27" t="s">
        <v>4</v>
      </c>
      <c r="N126" s="211" t="s">
        <v>2</v>
      </c>
      <c r="O126" s="212"/>
      <c r="P126" s="94"/>
      <c r="Q126" s="27" t="s">
        <v>5</v>
      </c>
      <c r="R126" s="211" t="s">
        <v>2</v>
      </c>
      <c r="S126" s="212"/>
      <c r="T126" s="94"/>
      <c r="U126" s="27" t="s">
        <v>6</v>
      </c>
      <c r="V126" s="211" t="s">
        <v>2</v>
      </c>
      <c r="W126" s="212"/>
      <c r="X126" s="104"/>
      <c r="Y126" s="28" t="s">
        <v>7</v>
      </c>
      <c r="Z126" s="71"/>
      <c r="AA126" s="29" t="s">
        <v>40</v>
      </c>
      <c r="AB126" s="52" t="s">
        <v>42</v>
      </c>
      <c r="AC126" s="30" t="s">
        <v>7</v>
      </c>
    </row>
    <row r="127" spans="1:29" s="31" customFormat="1" ht="15.75" customHeight="1" thickBot="1">
      <c r="A127" s="213" t="s">
        <v>9</v>
      </c>
      <c r="B127" s="214"/>
      <c r="C127" s="157"/>
      <c r="D127" s="56"/>
      <c r="E127" s="32" t="s">
        <v>10</v>
      </c>
      <c r="F127" s="211" t="s">
        <v>11</v>
      </c>
      <c r="G127" s="212"/>
      <c r="H127" s="95"/>
      <c r="I127" s="32" t="s">
        <v>10</v>
      </c>
      <c r="J127" s="215" t="s">
        <v>11</v>
      </c>
      <c r="K127" s="216"/>
      <c r="L127" s="95"/>
      <c r="M127" s="32" t="s">
        <v>10</v>
      </c>
      <c r="N127" s="215" t="s">
        <v>11</v>
      </c>
      <c r="O127" s="216"/>
      <c r="P127" s="95"/>
      <c r="Q127" s="32" t="s">
        <v>10</v>
      </c>
      <c r="R127" s="215" t="s">
        <v>11</v>
      </c>
      <c r="S127" s="216"/>
      <c r="T127" s="95"/>
      <c r="U127" s="32" t="s">
        <v>10</v>
      </c>
      <c r="V127" s="215" t="s">
        <v>11</v>
      </c>
      <c r="W127" s="216"/>
      <c r="X127" s="84"/>
      <c r="Y127" s="33" t="s">
        <v>10</v>
      </c>
      <c r="Z127" s="72"/>
      <c r="AA127" s="34" t="s">
        <v>41</v>
      </c>
      <c r="AB127" s="53" t="s">
        <v>43</v>
      </c>
      <c r="AC127" s="35" t="s">
        <v>12</v>
      </c>
    </row>
    <row r="128" spans="1:29" s="38" customFormat="1" ht="42" customHeight="1">
      <c r="A128" s="217" t="s">
        <v>105</v>
      </c>
      <c r="B128" s="218"/>
      <c r="C128" s="158">
        <f>SUM(C129:C131)</f>
        <v>93</v>
      </c>
      <c r="D128" s="62"/>
      <c r="E128" s="63">
        <f>SUM(E129:E131)</f>
        <v>517</v>
      </c>
      <c r="F128" s="46">
        <f>E148</f>
        <v>562</v>
      </c>
      <c r="G128" s="64" t="str">
        <f>A148</f>
        <v>Tapa Linnavalitsus</v>
      </c>
      <c r="H128" s="96"/>
      <c r="I128" s="49">
        <f>SUM(I129:I131)</f>
        <v>508</v>
      </c>
      <c r="J128" s="49">
        <f>I144</f>
        <v>500</v>
      </c>
      <c r="K128" s="42" t="str">
        <f>A144</f>
        <v>Nordic Tsement</v>
      </c>
      <c r="L128" s="100"/>
      <c r="M128" s="45">
        <f>SUM(M129:M131)</f>
        <v>578</v>
      </c>
      <c r="N128" s="45">
        <f>M140</f>
        <v>536</v>
      </c>
      <c r="O128" s="42" t="str">
        <f>A140</f>
        <v>RAKTOOM</v>
      </c>
      <c r="P128" s="100"/>
      <c r="Q128" s="45">
        <f>SUM(Q129:Q131)</f>
        <v>563</v>
      </c>
      <c r="R128" s="45">
        <f>Q136</f>
        <v>503</v>
      </c>
      <c r="S128" s="42" t="str">
        <f>A136</f>
        <v>ISOKUUL</v>
      </c>
      <c r="T128" s="100"/>
      <c r="U128" s="45">
        <f>SUM(U129:U131)</f>
        <v>591</v>
      </c>
      <c r="V128" s="45">
        <f>U132</f>
        <v>524</v>
      </c>
      <c r="W128" s="42" t="str">
        <f>A132</f>
        <v>UUS MAA</v>
      </c>
      <c r="X128" s="105">
        <f>Y128-5*C128</f>
        <v>2292</v>
      </c>
      <c r="Y128" s="36">
        <f aca="true" t="shared" si="8" ref="Y128:Y151">E128+I128+M128+Q128+U128</f>
        <v>2757</v>
      </c>
      <c r="Z128" s="73">
        <f aca="true" t="shared" si="9" ref="Z128:Z151">Y128-5*C128</f>
        <v>2292</v>
      </c>
      <c r="AA128" s="37">
        <f>AVERAGE(AA129,AA130,AA131)</f>
        <v>183.80000000000004</v>
      </c>
      <c r="AB128" s="65">
        <f>AVERAGE(AB129,AB130,AB131)</f>
        <v>152.8</v>
      </c>
      <c r="AC128" s="219">
        <f>F129+J129+N129+R129+V129</f>
        <v>4</v>
      </c>
    </row>
    <row r="129" spans="1:29" s="38" customFormat="1" ht="15.75">
      <c r="A129" s="222" t="s">
        <v>112</v>
      </c>
      <c r="B129" s="223"/>
      <c r="C129" s="159">
        <v>34</v>
      </c>
      <c r="D129" s="59">
        <v>131</v>
      </c>
      <c r="E129" s="50">
        <f>D129+C129</f>
        <v>165</v>
      </c>
      <c r="F129" s="224">
        <v>0</v>
      </c>
      <c r="G129" s="225"/>
      <c r="H129" s="97">
        <v>127</v>
      </c>
      <c r="I129" s="46">
        <f>C129+H129</f>
        <v>161</v>
      </c>
      <c r="J129" s="224">
        <v>1</v>
      </c>
      <c r="K129" s="225"/>
      <c r="L129" s="97">
        <v>210</v>
      </c>
      <c r="M129" s="50">
        <f>L129+C129</f>
        <v>244</v>
      </c>
      <c r="N129" s="224">
        <v>1</v>
      </c>
      <c r="O129" s="225"/>
      <c r="P129" s="97">
        <v>186</v>
      </c>
      <c r="Q129" s="50">
        <f>P129+C129</f>
        <v>220</v>
      </c>
      <c r="R129" s="224">
        <v>1</v>
      </c>
      <c r="S129" s="225"/>
      <c r="T129" s="97">
        <v>183</v>
      </c>
      <c r="U129" s="50">
        <f>T129+C129</f>
        <v>217</v>
      </c>
      <c r="V129" s="224">
        <v>1</v>
      </c>
      <c r="W129" s="225"/>
      <c r="X129" s="106">
        <f>D129+H129+L129+P129+T129</f>
        <v>837</v>
      </c>
      <c r="Y129" s="46">
        <f t="shared" si="8"/>
        <v>1007</v>
      </c>
      <c r="Z129" s="73">
        <f t="shared" si="9"/>
        <v>837</v>
      </c>
      <c r="AA129" s="67">
        <f>AVERAGE(E129,I129,M129,Q129,U129)</f>
        <v>201.4</v>
      </c>
      <c r="AB129" s="67">
        <f>AVERAGE(E129,I129,M129,Q129,U129)-C129</f>
        <v>167.4</v>
      </c>
      <c r="AC129" s="220"/>
    </row>
    <row r="130" spans="1:29" s="38" customFormat="1" ht="15.75">
      <c r="A130" s="222" t="s">
        <v>113</v>
      </c>
      <c r="B130" s="223"/>
      <c r="C130" s="159">
        <v>31</v>
      </c>
      <c r="D130" s="59">
        <v>155</v>
      </c>
      <c r="E130" s="50">
        <f>D130+C130</f>
        <v>186</v>
      </c>
      <c r="F130" s="226"/>
      <c r="G130" s="227"/>
      <c r="H130" s="98">
        <v>165</v>
      </c>
      <c r="I130" s="46">
        <f>C130+H130</f>
        <v>196</v>
      </c>
      <c r="J130" s="226"/>
      <c r="K130" s="227"/>
      <c r="L130" s="98">
        <v>160</v>
      </c>
      <c r="M130" s="50">
        <f>L130+C130</f>
        <v>191</v>
      </c>
      <c r="N130" s="226"/>
      <c r="O130" s="227"/>
      <c r="P130" s="98">
        <v>129</v>
      </c>
      <c r="Q130" s="50">
        <f>P130+C130</f>
        <v>160</v>
      </c>
      <c r="R130" s="226"/>
      <c r="S130" s="227"/>
      <c r="T130" s="98">
        <v>180</v>
      </c>
      <c r="U130" s="50">
        <f>T130+C130</f>
        <v>211</v>
      </c>
      <c r="V130" s="226"/>
      <c r="W130" s="227"/>
      <c r="X130" s="106">
        <f>D130+H130+L130+P130+T130</f>
        <v>789</v>
      </c>
      <c r="Y130" s="46">
        <f t="shared" si="8"/>
        <v>944</v>
      </c>
      <c r="Z130" s="73">
        <f t="shared" si="9"/>
        <v>789</v>
      </c>
      <c r="AA130" s="67">
        <f>AVERAGE(E130,I130,M130,Q130,U130)</f>
        <v>188.8</v>
      </c>
      <c r="AB130" s="67">
        <f>AVERAGE(E130,I130,M130,Q130,U130)-C130</f>
        <v>157.8</v>
      </c>
      <c r="AC130" s="220"/>
    </row>
    <row r="131" spans="1:29" s="38" customFormat="1" ht="16.5" thickBot="1">
      <c r="A131" s="229" t="s">
        <v>114</v>
      </c>
      <c r="B131" s="230"/>
      <c r="C131" s="160">
        <v>28</v>
      </c>
      <c r="D131" s="60">
        <v>138</v>
      </c>
      <c r="E131" s="50">
        <f>D131+C131</f>
        <v>166</v>
      </c>
      <c r="F131" s="204"/>
      <c r="G131" s="228"/>
      <c r="H131" s="99">
        <v>123</v>
      </c>
      <c r="I131" s="46">
        <f>C131+H131</f>
        <v>151</v>
      </c>
      <c r="J131" s="204"/>
      <c r="K131" s="228"/>
      <c r="L131" s="99">
        <v>115</v>
      </c>
      <c r="M131" s="50">
        <f>L131+C131</f>
        <v>143</v>
      </c>
      <c r="N131" s="204"/>
      <c r="O131" s="228"/>
      <c r="P131" s="99">
        <v>155</v>
      </c>
      <c r="Q131" s="50">
        <f>P131+C131</f>
        <v>183</v>
      </c>
      <c r="R131" s="204"/>
      <c r="S131" s="228"/>
      <c r="T131" s="99">
        <v>135</v>
      </c>
      <c r="U131" s="50">
        <f>T131+C131</f>
        <v>163</v>
      </c>
      <c r="V131" s="204"/>
      <c r="W131" s="228"/>
      <c r="X131" s="107">
        <f>D131+H131+L131+P131+T131</f>
        <v>666</v>
      </c>
      <c r="Y131" s="47">
        <f t="shared" si="8"/>
        <v>806</v>
      </c>
      <c r="Z131" s="74">
        <f t="shared" si="9"/>
        <v>666</v>
      </c>
      <c r="AA131" s="68">
        <f>AVERAGE(E131,I131,M131,Q131,U131)</f>
        <v>161.2</v>
      </c>
      <c r="AB131" s="68">
        <f>AVERAGE(E131,I131,M131,Q131,U131)-C131</f>
        <v>133.2</v>
      </c>
      <c r="AC131" s="221"/>
    </row>
    <row r="132" spans="1:29" s="38" customFormat="1" ht="41.25" customHeight="1">
      <c r="A132" s="234" t="s">
        <v>106</v>
      </c>
      <c r="B132" s="235"/>
      <c r="C132" s="158">
        <f>SUM(C133:C135)</f>
        <v>155</v>
      </c>
      <c r="D132" s="62"/>
      <c r="E132" s="45">
        <f>SUM(E133:E135)</f>
        <v>575</v>
      </c>
      <c r="F132" s="45">
        <f>E144</f>
        <v>483</v>
      </c>
      <c r="G132" s="42" t="str">
        <f>A144</f>
        <v>Nordic Tsement</v>
      </c>
      <c r="H132" s="100"/>
      <c r="I132" s="45">
        <f>SUM(I133:I135)</f>
        <v>538</v>
      </c>
      <c r="J132" s="45">
        <f>I140</f>
        <v>544</v>
      </c>
      <c r="K132" s="42" t="str">
        <f>A140</f>
        <v>RAKTOOM</v>
      </c>
      <c r="L132" s="102"/>
      <c r="M132" s="49">
        <f>SUM(M133:M135)</f>
        <v>523</v>
      </c>
      <c r="N132" s="45">
        <f>M136</f>
        <v>535</v>
      </c>
      <c r="O132" s="42" t="str">
        <f>A136</f>
        <v>ISOKUUL</v>
      </c>
      <c r="P132" s="102"/>
      <c r="Q132" s="49">
        <f>SUM(Q133:Q135)</f>
        <v>559</v>
      </c>
      <c r="R132" s="45">
        <f>Q148</f>
        <v>628</v>
      </c>
      <c r="S132" s="42" t="str">
        <f>A148</f>
        <v>Tapa Linnavalitsus</v>
      </c>
      <c r="T132" s="102"/>
      <c r="U132" s="49">
        <f>SUM(U133:U135)</f>
        <v>524</v>
      </c>
      <c r="V132" s="45">
        <f>U128</f>
        <v>591</v>
      </c>
      <c r="W132" s="42" t="str">
        <f>A128</f>
        <v>VERX</v>
      </c>
      <c r="X132" s="105">
        <f>Y132-5*C132</f>
        <v>1944</v>
      </c>
      <c r="Y132" s="36">
        <f t="shared" si="8"/>
        <v>2719</v>
      </c>
      <c r="Z132" s="75">
        <f t="shared" si="9"/>
        <v>1944</v>
      </c>
      <c r="AA132" s="37">
        <f>AVERAGE(AA133,AA134,AA135)</f>
        <v>181.26666666666665</v>
      </c>
      <c r="AB132" s="37">
        <f>AVERAGE(AB133,AB134,AB135)</f>
        <v>129.6</v>
      </c>
      <c r="AC132" s="220">
        <f>F133+J133+N133+R133+V133</f>
        <v>1</v>
      </c>
    </row>
    <row r="133" spans="1:29" s="38" customFormat="1" ht="15.75" customHeight="1">
      <c r="A133" s="222" t="s">
        <v>122</v>
      </c>
      <c r="B133" s="223"/>
      <c r="C133" s="159">
        <v>60</v>
      </c>
      <c r="D133" s="59">
        <v>174</v>
      </c>
      <c r="E133" s="50">
        <f>D133+C133</f>
        <v>234</v>
      </c>
      <c r="F133" s="224">
        <v>1</v>
      </c>
      <c r="G133" s="225"/>
      <c r="H133" s="97">
        <v>114</v>
      </c>
      <c r="I133" s="46">
        <f>C133+H133</f>
        <v>174</v>
      </c>
      <c r="J133" s="224">
        <v>0</v>
      </c>
      <c r="K133" s="225"/>
      <c r="L133" s="97">
        <v>130</v>
      </c>
      <c r="M133" s="50">
        <f>L133+C133</f>
        <v>190</v>
      </c>
      <c r="N133" s="224">
        <v>0</v>
      </c>
      <c r="O133" s="225"/>
      <c r="P133" s="97">
        <v>114</v>
      </c>
      <c r="Q133" s="50">
        <f>P133+C133</f>
        <v>174</v>
      </c>
      <c r="R133" s="224">
        <v>0</v>
      </c>
      <c r="S133" s="225"/>
      <c r="T133" s="97">
        <v>120</v>
      </c>
      <c r="U133" s="50">
        <f>T133+C133</f>
        <v>180</v>
      </c>
      <c r="V133" s="224">
        <v>0</v>
      </c>
      <c r="W133" s="225"/>
      <c r="X133" s="106">
        <f>D133+H133+L133+P133+T133</f>
        <v>652</v>
      </c>
      <c r="Y133" s="46">
        <f t="shared" si="8"/>
        <v>952</v>
      </c>
      <c r="Z133" s="73">
        <f t="shared" si="9"/>
        <v>652</v>
      </c>
      <c r="AA133" s="67">
        <f>AVERAGE(E133,I133,M133,Q133,U133)</f>
        <v>190.4</v>
      </c>
      <c r="AB133" s="67">
        <f>AVERAGE(E133,I133,M133,Q133,U133)-C133</f>
        <v>130.4</v>
      </c>
      <c r="AC133" s="220"/>
    </row>
    <row r="134" spans="1:29" s="38" customFormat="1" ht="15.75" customHeight="1">
      <c r="A134" s="222" t="s">
        <v>126</v>
      </c>
      <c r="B134" s="223"/>
      <c r="C134" s="159">
        <v>60</v>
      </c>
      <c r="D134" s="59">
        <v>100</v>
      </c>
      <c r="E134" s="50">
        <f>D134+C134</f>
        <v>160</v>
      </c>
      <c r="F134" s="226"/>
      <c r="G134" s="227"/>
      <c r="H134" s="98">
        <v>123</v>
      </c>
      <c r="I134" s="46">
        <f>C134+H134</f>
        <v>183</v>
      </c>
      <c r="J134" s="226"/>
      <c r="K134" s="227"/>
      <c r="L134" s="98">
        <v>94</v>
      </c>
      <c r="M134" s="50">
        <f>L134+C134</f>
        <v>154</v>
      </c>
      <c r="N134" s="226"/>
      <c r="O134" s="227"/>
      <c r="P134" s="98">
        <v>121</v>
      </c>
      <c r="Q134" s="50">
        <f>P134+C134</f>
        <v>181</v>
      </c>
      <c r="R134" s="226"/>
      <c r="S134" s="227"/>
      <c r="T134" s="98">
        <v>92</v>
      </c>
      <c r="U134" s="50">
        <f>T134+C134</f>
        <v>152</v>
      </c>
      <c r="V134" s="226"/>
      <c r="W134" s="227"/>
      <c r="X134" s="106">
        <f>D134+H134+L134+P134+T134</f>
        <v>530</v>
      </c>
      <c r="Y134" s="46">
        <f t="shared" si="8"/>
        <v>830</v>
      </c>
      <c r="Z134" s="73">
        <f t="shared" si="9"/>
        <v>530</v>
      </c>
      <c r="AA134" s="67">
        <f>AVERAGE(E134,I134,M134,Q134,U134)</f>
        <v>166</v>
      </c>
      <c r="AB134" s="67">
        <f>AVERAGE(E134,I134,M134,Q134,U134)-C134</f>
        <v>106</v>
      </c>
      <c r="AC134" s="220"/>
    </row>
    <row r="135" spans="1:29" s="38" customFormat="1" ht="15.75" customHeight="1" thickBot="1">
      <c r="A135" s="229" t="s">
        <v>129</v>
      </c>
      <c r="B135" s="230"/>
      <c r="C135" s="160">
        <v>35</v>
      </c>
      <c r="D135" s="60">
        <v>146</v>
      </c>
      <c r="E135" s="50">
        <f>D135+C135</f>
        <v>181</v>
      </c>
      <c r="F135" s="204"/>
      <c r="G135" s="228"/>
      <c r="H135" s="99">
        <v>146</v>
      </c>
      <c r="I135" s="46">
        <f>C135+H135</f>
        <v>181</v>
      </c>
      <c r="J135" s="204"/>
      <c r="K135" s="228"/>
      <c r="L135" s="99">
        <v>144</v>
      </c>
      <c r="M135" s="50">
        <f>L135+C135</f>
        <v>179</v>
      </c>
      <c r="N135" s="204"/>
      <c r="O135" s="228"/>
      <c r="P135" s="99">
        <v>169</v>
      </c>
      <c r="Q135" s="50">
        <f>P135+C135</f>
        <v>204</v>
      </c>
      <c r="R135" s="204"/>
      <c r="S135" s="228"/>
      <c r="T135" s="99">
        <v>157</v>
      </c>
      <c r="U135" s="50">
        <f>T135+C135</f>
        <v>192</v>
      </c>
      <c r="V135" s="204"/>
      <c r="W135" s="228"/>
      <c r="X135" s="107">
        <f>D135+H135+L135+P135+T135</f>
        <v>762</v>
      </c>
      <c r="Y135" s="47">
        <f t="shared" si="8"/>
        <v>937</v>
      </c>
      <c r="Z135" s="74">
        <f t="shared" si="9"/>
        <v>762</v>
      </c>
      <c r="AA135" s="68">
        <f>AVERAGE(E135,I135,M135,Q135,U135)</f>
        <v>187.4</v>
      </c>
      <c r="AB135" s="68">
        <f>AVERAGE(E135,I135,M135,Q135,U135)-C135</f>
        <v>152.4</v>
      </c>
      <c r="AC135" s="221"/>
    </row>
    <row r="136" spans="1:29" s="38" customFormat="1" ht="47.25" customHeight="1">
      <c r="A136" s="234" t="s">
        <v>107</v>
      </c>
      <c r="B136" s="235"/>
      <c r="C136" s="158">
        <f>SUM(C137:C139)</f>
        <v>95</v>
      </c>
      <c r="D136" s="62"/>
      <c r="E136" s="45">
        <f>SUM(E137:E139)</f>
        <v>545</v>
      </c>
      <c r="F136" s="45">
        <f>E140</f>
        <v>522</v>
      </c>
      <c r="G136" s="42" t="str">
        <f>A140</f>
        <v>RAKTOOM</v>
      </c>
      <c r="H136" s="100"/>
      <c r="I136" s="45">
        <f>SUM(I137:I139)</f>
        <v>519</v>
      </c>
      <c r="J136" s="45">
        <f>I148</f>
        <v>498</v>
      </c>
      <c r="K136" s="42" t="str">
        <f>A148</f>
        <v>Tapa Linnavalitsus</v>
      </c>
      <c r="L136" s="103"/>
      <c r="M136" s="69">
        <f>SUM(M137:M139)</f>
        <v>535</v>
      </c>
      <c r="N136" s="45">
        <f>M132</f>
        <v>523</v>
      </c>
      <c r="O136" s="42" t="str">
        <f>A132</f>
        <v>UUS MAA</v>
      </c>
      <c r="P136" s="103"/>
      <c r="Q136" s="69">
        <f>SUM(Q137:Q139)</f>
        <v>503</v>
      </c>
      <c r="R136" s="45">
        <f>Q128</f>
        <v>563</v>
      </c>
      <c r="S136" s="42" t="str">
        <f>A128</f>
        <v>VERX</v>
      </c>
      <c r="T136" s="103"/>
      <c r="U136" s="69">
        <f>SUM(U137:U139)</f>
        <v>502</v>
      </c>
      <c r="V136" s="45">
        <f>U144</f>
        <v>469</v>
      </c>
      <c r="W136" s="42" t="str">
        <f>A144</f>
        <v>Nordic Tsement</v>
      </c>
      <c r="X136" s="105">
        <f>Y136-5*C136</f>
        <v>2129</v>
      </c>
      <c r="Y136" s="36">
        <f t="shared" si="8"/>
        <v>2604</v>
      </c>
      <c r="Z136" s="75">
        <f t="shared" si="9"/>
        <v>2129</v>
      </c>
      <c r="AA136" s="37">
        <f>AVERAGE(AA137,AA138,AA139)</f>
        <v>173.6</v>
      </c>
      <c r="AB136" s="37">
        <f>AVERAGE(AB137,AB138,AB139)</f>
        <v>141.93333333333334</v>
      </c>
      <c r="AC136" s="219">
        <f>F137+J137+N137+R137+V137</f>
        <v>4</v>
      </c>
    </row>
    <row r="137" spans="1:29" s="38" customFormat="1" ht="15.75" customHeight="1">
      <c r="A137" s="222" t="s">
        <v>115</v>
      </c>
      <c r="B137" s="223"/>
      <c r="C137" s="159">
        <v>15</v>
      </c>
      <c r="D137" s="59">
        <v>138</v>
      </c>
      <c r="E137" s="50">
        <f>D137+C137</f>
        <v>153</v>
      </c>
      <c r="F137" s="224">
        <v>1</v>
      </c>
      <c r="G137" s="225"/>
      <c r="H137" s="97">
        <v>177</v>
      </c>
      <c r="I137" s="46">
        <f>C137+H137</f>
        <v>192</v>
      </c>
      <c r="J137" s="224">
        <v>1</v>
      </c>
      <c r="K137" s="225"/>
      <c r="L137" s="97">
        <v>153</v>
      </c>
      <c r="M137" s="50">
        <f>L137+C137</f>
        <v>168</v>
      </c>
      <c r="N137" s="224">
        <v>1</v>
      </c>
      <c r="O137" s="225"/>
      <c r="P137" s="97">
        <v>127</v>
      </c>
      <c r="Q137" s="50">
        <f>P137+C137</f>
        <v>142</v>
      </c>
      <c r="R137" s="224">
        <v>0</v>
      </c>
      <c r="S137" s="225"/>
      <c r="T137" s="97">
        <v>162</v>
      </c>
      <c r="U137" s="50">
        <f>T137+C137</f>
        <v>177</v>
      </c>
      <c r="V137" s="224">
        <v>1</v>
      </c>
      <c r="W137" s="225"/>
      <c r="X137" s="106">
        <f>D137+H137+L137+P137+T137</f>
        <v>757</v>
      </c>
      <c r="Y137" s="46">
        <f t="shared" si="8"/>
        <v>832</v>
      </c>
      <c r="Z137" s="73">
        <f t="shared" si="9"/>
        <v>757</v>
      </c>
      <c r="AA137" s="67">
        <f>AVERAGE(E137,I137,M137,Q137,U137)</f>
        <v>166.4</v>
      </c>
      <c r="AB137" s="67">
        <f>AVERAGE(E137,I137,M137,Q137,U137)-C137</f>
        <v>151.4</v>
      </c>
      <c r="AC137" s="220"/>
    </row>
    <row r="138" spans="1:29" s="38" customFormat="1" ht="15.75" customHeight="1">
      <c r="A138" s="222" t="s">
        <v>116</v>
      </c>
      <c r="B138" s="223"/>
      <c r="C138" s="159">
        <v>60</v>
      </c>
      <c r="D138" s="59">
        <v>180</v>
      </c>
      <c r="E138" s="50">
        <f>D138+C138</f>
        <v>240</v>
      </c>
      <c r="F138" s="226"/>
      <c r="G138" s="227"/>
      <c r="H138" s="98">
        <v>117</v>
      </c>
      <c r="I138" s="46">
        <f>C138+H138</f>
        <v>177</v>
      </c>
      <c r="J138" s="226"/>
      <c r="K138" s="227"/>
      <c r="L138" s="98">
        <v>117</v>
      </c>
      <c r="M138" s="50">
        <f>L138+C138</f>
        <v>177</v>
      </c>
      <c r="N138" s="226"/>
      <c r="O138" s="227"/>
      <c r="P138" s="98">
        <v>132</v>
      </c>
      <c r="Q138" s="50">
        <f>P138+C138</f>
        <v>192</v>
      </c>
      <c r="R138" s="226"/>
      <c r="S138" s="227"/>
      <c r="T138" s="98">
        <v>106</v>
      </c>
      <c r="U138" s="50">
        <f>T138+C138</f>
        <v>166</v>
      </c>
      <c r="V138" s="226"/>
      <c r="W138" s="227"/>
      <c r="X138" s="106">
        <f>D138+H138+L138+P138+T138</f>
        <v>652</v>
      </c>
      <c r="Y138" s="46">
        <f t="shared" si="8"/>
        <v>952</v>
      </c>
      <c r="Z138" s="73">
        <f t="shared" si="9"/>
        <v>652</v>
      </c>
      <c r="AA138" s="67">
        <f>AVERAGE(E138,I138,M138,Q138,U138)</f>
        <v>190.4</v>
      </c>
      <c r="AB138" s="67">
        <f>AVERAGE(E138,I138,M138,Q138,U138)-C138</f>
        <v>130.4</v>
      </c>
      <c r="AC138" s="220"/>
    </row>
    <row r="139" spans="1:29" s="38" customFormat="1" ht="15.75" customHeight="1" thickBot="1">
      <c r="A139" s="229" t="s">
        <v>117</v>
      </c>
      <c r="B139" s="230"/>
      <c r="C139" s="160">
        <v>20</v>
      </c>
      <c r="D139" s="60">
        <v>132</v>
      </c>
      <c r="E139" s="47">
        <f>D139+C139</f>
        <v>152</v>
      </c>
      <c r="F139" s="204"/>
      <c r="G139" s="228"/>
      <c r="H139" s="99">
        <v>130</v>
      </c>
      <c r="I139" s="46">
        <f>C139+H139</f>
        <v>150</v>
      </c>
      <c r="J139" s="204"/>
      <c r="K139" s="228"/>
      <c r="L139" s="99">
        <v>170</v>
      </c>
      <c r="M139" s="50">
        <f>L139+C139</f>
        <v>190</v>
      </c>
      <c r="N139" s="204"/>
      <c r="O139" s="228"/>
      <c r="P139" s="99">
        <v>149</v>
      </c>
      <c r="Q139" s="50">
        <f>P139+C139</f>
        <v>169</v>
      </c>
      <c r="R139" s="204"/>
      <c r="S139" s="228"/>
      <c r="T139" s="99">
        <v>139</v>
      </c>
      <c r="U139" s="50">
        <f>T139+C139</f>
        <v>159</v>
      </c>
      <c r="V139" s="204"/>
      <c r="W139" s="228"/>
      <c r="X139" s="107">
        <f>D139+H139+L139+P139+T139</f>
        <v>720</v>
      </c>
      <c r="Y139" s="47">
        <f t="shared" si="8"/>
        <v>820</v>
      </c>
      <c r="Z139" s="74">
        <f t="shared" si="9"/>
        <v>720</v>
      </c>
      <c r="AA139" s="68">
        <f>AVERAGE(E139,I139,M139,Q139,U139)</f>
        <v>164</v>
      </c>
      <c r="AB139" s="68">
        <f>AVERAGE(E139,I139,M139,Q139,U139)-C139</f>
        <v>144</v>
      </c>
      <c r="AC139" s="221"/>
    </row>
    <row r="140" spans="1:29" s="38" customFormat="1" ht="36" customHeight="1">
      <c r="A140" s="217" t="s">
        <v>108</v>
      </c>
      <c r="B140" s="218"/>
      <c r="C140" s="158">
        <f>SUM(C141:C143)</f>
        <v>173</v>
      </c>
      <c r="D140" s="92"/>
      <c r="E140" s="48">
        <f>SUM(E141:E143)</f>
        <v>522</v>
      </c>
      <c r="F140" s="48">
        <f>E136</f>
        <v>545</v>
      </c>
      <c r="G140" s="43" t="str">
        <f>A136</f>
        <v>ISOKUUL</v>
      </c>
      <c r="H140" s="101"/>
      <c r="I140" s="48">
        <f>SUM(I141:I143)</f>
        <v>544</v>
      </c>
      <c r="J140" s="48">
        <f>I132</f>
        <v>538</v>
      </c>
      <c r="K140" s="43" t="str">
        <f>A132</f>
        <v>UUS MAA</v>
      </c>
      <c r="L140" s="96"/>
      <c r="M140" s="49">
        <f>SUM(M141:M143)</f>
        <v>536</v>
      </c>
      <c r="N140" s="48">
        <f>M128</f>
        <v>578</v>
      </c>
      <c r="O140" s="43" t="str">
        <f>A128</f>
        <v>VERX</v>
      </c>
      <c r="P140" s="96"/>
      <c r="Q140" s="49">
        <f>SUM(Q141:Q143)</f>
        <v>577</v>
      </c>
      <c r="R140" s="48">
        <f>Q144</f>
        <v>496</v>
      </c>
      <c r="S140" s="43" t="str">
        <f>A144</f>
        <v>Nordic Tsement</v>
      </c>
      <c r="T140" s="96"/>
      <c r="U140" s="49">
        <f>SUM(U141:U143)</f>
        <v>561</v>
      </c>
      <c r="V140" s="48">
        <f>U148</f>
        <v>547</v>
      </c>
      <c r="W140" s="43" t="str">
        <f>A148</f>
        <v>Tapa Linnavalitsus</v>
      </c>
      <c r="X140" s="105">
        <f>Y140-5*C140</f>
        <v>1875</v>
      </c>
      <c r="Y140" s="36">
        <f t="shared" si="8"/>
        <v>2740</v>
      </c>
      <c r="Z140" s="75">
        <f t="shared" si="9"/>
        <v>1875</v>
      </c>
      <c r="AA140" s="37">
        <f>AVERAGE(AA141,AA142,AA143)</f>
        <v>182.66666666666666</v>
      </c>
      <c r="AB140" s="37">
        <f>AVERAGE(AB141,AB142,AB143)</f>
        <v>125</v>
      </c>
      <c r="AC140" s="219">
        <f>F141+J141+N141+R141+V141</f>
        <v>3</v>
      </c>
    </row>
    <row r="141" spans="1:29" s="38" customFormat="1" ht="15.75" customHeight="1">
      <c r="A141" s="222" t="s">
        <v>133</v>
      </c>
      <c r="B141" s="223"/>
      <c r="C141" s="159">
        <v>60</v>
      </c>
      <c r="D141" s="59">
        <v>131</v>
      </c>
      <c r="E141" s="50">
        <f>D141+C141</f>
        <v>191</v>
      </c>
      <c r="F141" s="224">
        <v>0</v>
      </c>
      <c r="G141" s="225"/>
      <c r="H141" s="97">
        <v>126</v>
      </c>
      <c r="I141" s="46">
        <f>C141+H141</f>
        <v>186</v>
      </c>
      <c r="J141" s="224">
        <v>1</v>
      </c>
      <c r="K141" s="225"/>
      <c r="L141" s="97">
        <v>102</v>
      </c>
      <c r="M141" s="50">
        <f>L141+C141</f>
        <v>162</v>
      </c>
      <c r="N141" s="224">
        <v>0</v>
      </c>
      <c r="O141" s="225"/>
      <c r="P141" s="97">
        <v>126</v>
      </c>
      <c r="Q141" s="50">
        <f>P141+C141</f>
        <v>186</v>
      </c>
      <c r="R141" s="224">
        <v>1</v>
      </c>
      <c r="S141" s="225"/>
      <c r="T141" s="97">
        <v>109</v>
      </c>
      <c r="U141" s="50">
        <f>T141+C141</f>
        <v>169</v>
      </c>
      <c r="V141" s="224">
        <v>1</v>
      </c>
      <c r="W141" s="225"/>
      <c r="X141" s="106">
        <f>D141+H141+L141+P141+T141</f>
        <v>594</v>
      </c>
      <c r="Y141" s="46">
        <f t="shared" si="8"/>
        <v>894</v>
      </c>
      <c r="Z141" s="73">
        <f t="shared" si="9"/>
        <v>594</v>
      </c>
      <c r="AA141" s="67">
        <f>AVERAGE(E141,I141,M141,Q141,U141)</f>
        <v>178.8</v>
      </c>
      <c r="AB141" s="67">
        <f>AVERAGE(E141,I141,M141,Q141,U141)-C141</f>
        <v>118.80000000000001</v>
      </c>
      <c r="AC141" s="220"/>
    </row>
    <row r="142" spans="1:29" s="38" customFormat="1" ht="15.75" customHeight="1">
      <c r="A142" s="222" t="s">
        <v>127</v>
      </c>
      <c r="B142" s="223"/>
      <c r="C142" s="159">
        <v>60</v>
      </c>
      <c r="D142" s="59">
        <v>91</v>
      </c>
      <c r="E142" s="50">
        <f>D142+C142</f>
        <v>151</v>
      </c>
      <c r="F142" s="226"/>
      <c r="G142" s="227"/>
      <c r="H142" s="98">
        <v>114</v>
      </c>
      <c r="I142" s="46">
        <f>C142+H142</f>
        <v>174</v>
      </c>
      <c r="J142" s="226"/>
      <c r="K142" s="227"/>
      <c r="L142" s="98">
        <v>139</v>
      </c>
      <c r="M142" s="50">
        <f>L142+C142</f>
        <v>199</v>
      </c>
      <c r="N142" s="226"/>
      <c r="O142" s="227"/>
      <c r="P142" s="98">
        <v>126</v>
      </c>
      <c r="Q142" s="50">
        <f>P142+C142</f>
        <v>186</v>
      </c>
      <c r="R142" s="226"/>
      <c r="S142" s="227"/>
      <c r="T142" s="98">
        <v>119</v>
      </c>
      <c r="U142" s="50">
        <f>T142+C142</f>
        <v>179</v>
      </c>
      <c r="V142" s="226"/>
      <c r="W142" s="227"/>
      <c r="X142" s="106">
        <f>D142+H142+L142+P142+T142</f>
        <v>589</v>
      </c>
      <c r="Y142" s="46">
        <f t="shared" si="8"/>
        <v>889</v>
      </c>
      <c r="Z142" s="73">
        <f t="shared" si="9"/>
        <v>589</v>
      </c>
      <c r="AA142" s="67">
        <f>AVERAGE(E142,I142,M142,Q142,U142)</f>
        <v>177.8</v>
      </c>
      <c r="AB142" s="67">
        <f>AVERAGE(E142,I142,M142,Q142,U142)-C142</f>
        <v>117.80000000000001</v>
      </c>
      <c r="AC142" s="220"/>
    </row>
    <row r="143" spans="1:30" s="38" customFormat="1" ht="15.75" customHeight="1" thickBot="1">
      <c r="A143" s="229" t="s">
        <v>118</v>
      </c>
      <c r="B143" s="230"/>
      <c r="C143" s="160">
        <v>53</v>
      </c>
      <c r="D143" s="60">
        <v>127</v>
      </c>
      <c r="E143" s="50">
        <f>D143+C143</f>
        <v>180</v>
      </c>
      <c r="F143" s="204"/>
      <c r="G143" s="228"/>
      <c r="H143" s="99">
        <v>131</v>
      </c>
      <c r="I143" s="46">
        <f>C143+H143</f>
        <v>184</v>
      </c>
      <c r="J143" s="204"/>
      <c r="K143" s="228"/>
      <c r="L143" s="99">
        <v>122</v>
      </c>
      <c r="M143" s="50">
        <f>L143+C143</f>
        <v>175</v>
      </c>
      <c r="N143" s="204"/>
      <c r="O143" s="228"/>
      <c r="P143" s="99">
        <v>152</v>
      </c>
      <c r="Q143" s="50">
        <f>P143+C143</f>
        <v>205</v>
      </c>
      <c r="R143" s="204"/>
      <c r="S143" s="228"/>
      <c r="T143" s="99">
        <v>160</v>
      </c>
      <c r="U143" s="50">
        <f>T143+C143</f>
        <v>213</v>
      </c>
      <c r="V143" s="204"/>
      <c r="W143" s="228"/>
      <c r="X143" s="107">
        <f>D143+H143+L143+P143+T143</f>
        <v>692</v>
      </c>
      <c r="Y143" s="47">
        <f t="shared" si="8"/>
        <v>957</v>
      </c>
      <c r="Z143" s="74">
        <f t="shared" si="9"/>
        <v>692</v>
      </c>
      <c r="AA143" s="68">
        <f>AVERAGE(E143,I143,M143,Q143,U143)</f>
        <v>191.4</v>
      </c>
      <c r="AB143" s="68">
        <f>AVERAGE(E143,I143,M143,Q143,U143)-C143</f>
        <v>138.4</v>
      </c>
      <c r="AC143" s="221"/>
      <c r="AD143" s="44"/>
    </row>
    <row r="144" spans="1:29" s="38" customFormat="1" ht="40.5" customHeight="1">
      <c r="A144" s="217" t="s">
        <v>109</v>
      </c>
      <c r="B144" s="218"/>
      <c r="C144" s="158">
        <f>SUM(C145:C147)</f>
        <v>180</v>
      </c>
      <c r="D144" s="62"/>
      <c r="E144" s="45">
        <f>SUM(E145:E147)</f>
        <v>483</v>
      </c>
      <c r="F144" s="45">
        <f>E132</f>
        <v>575</v>
      </c>
      <c r="G144" s="42" t="str">
        <f>A132</f>
        <v>UUS MAA</v>
      </c>
      <c r="H144" s="100"/>
      <c r="I144" s="45">
        <f>SUM(I145:I147)</f>
        <v>500</v>
      </c>
      <c r="J144" s="45">
        <f>I128</f>
        <v>508</v>
      </c>
      <c r="K144" s="42" t="str">
        <f>A128</f>
        <v>VERX</v>
      </c>
      <c r="L144" s="103"/>
      <c r="M144" s="69">
        <f>SUM(M145:M147)</f>
        <v>505</v>
      </c>
      <c r="N144" s="45">
        <f>M148</f>
        <v>470</v>
      </c>
      <c r="O144" s="42" t="str">
        <f>A148</f>
        <v>Tapa Linnavalitsus</v>
      </c>
      <c r="P144" s="103"/>
      <c r="Q144" s="69">
        <f>SUM(Q145:Q147)</f>
        <v>496</v>
      </c>
      <c r="R144" s="45">
        <f>Q140</f>
        <v>577</v>
      </c>
      <c r="S144" s="42" t="str">
        <f>A140</f>
        <v>RAKTOOM</v>
      </c>
      <c r="T144" s="103"/>
      <c r="U144" s="69">
        <f>SUM(U145:U147)</f>
        <v>469</v>
      </c>
      <c r="V144" s="45">
        <f>U136</f>
        <v>502</v>
      </c>
      <c r="W144" s="42" t="str">
        <f>A136</f>
        <v>ISOKUUL</v>
      </c>
      <c r="X144" s="105">
        <f>Y144-5*C144</f>
        <v>1553</v>
      </c>
      <c r="Y144" s="36">
        <f t="shared" si="8"/>
        <v>2453</v>
      </c>
      <c r="Z144" s="75">
        <f t="shared" si="9"/>
        <v>1553</v>
      </c>
      <c r="AA144" s="37">
        <f>AVERAGE(AA145,AA146,AA147)</f>
        <v>163.53333333333333</v>
      </c>
      <c r="AB144" s="37">
        <f>AVERAGE(AB145,AB146,AB147)</f>
        <v>103.53333333333335</v>
      </c>
      <c r="AC144" s="219">
        <f>F145+J145+N145+R145+V145</f>
        <v>1</v>
      </c>
    </row>
    <row r="145" spans="1:29" s="38" customFormat="1" ht="15.75" customHeight="1">
      <c r="A145" s="222" t="s">
        <v>119</v>
      </c>
      <c r="B145" s="223"/>
      <c r="C145" s="159">
        <v>60</v>
      </c>
      <c r="D145" s="59">
        <v>91</v>
      </c>
      <c r="E145" s="50">
        <f>D145+C145</f>
        <v>151</v>
      </c>
      <c r="F145" s="224">
        <v>0</v>
      </c>
      <c r="G145" s="225"/>
      <c r="H145" s="97">
        <v>96</v>
      </c>
      <c r="I145" s="46">
        <f>C145+H145</f>
        <v>156</v>
      </c>
      <c r="J145" s="224">
        <v>0</v>
      </c>
      <c r="K145" s="225"/>
      <c r="L145" s="97">
        <v>113</v>
      </c>
      <c r="M145" s="50">
        <f>L145+C145</f>
        <v>173</v>
      </c>
      <c r="N145" s="224">
        <v>1</v>
      </c>
      <c r="O145" s="225"/>
      <c r="P145" s="97">
        <v>107</v>
      </c>
      <c r="Q145" s="50">
        <f>P145+C145</f>
        <v>167</v>
      </c>
      <c r="R145" s="224">
        <v>0</v>
      </c>
      <c r="S145" s="225"/>
      <c r="T145" s="97">
        <v>116</v>
      </c>
      <c r="U145" s="50">
        <f>T145+C145</f>
        <v>176</v>
      </c>
      <c r="V145" s="224">
        <v>0</v>
      </c>
      <c r="W145" s="225"/>
      <c r="X145" s="106">
        <f>D145+H145+L145+P145+T145</f>
        <v>523</v>
      </c>
      <c r="Y145" s="46">
        <f t="shared" si="8"/>
        <v>823</v>
      </c>
      <c r="Z145" s="73">
        <f t="shared" si="9"/>
        <v>523</v>
      </c>
      <c r="AA145" s="67">
        <f>AVERAGE(E145,I145,M145,Q145,U145)</f>
        <v>164.6</v>
      </c>
      <c r="AB145" s="67">
        <f>AVERAGE(E145,I145,M145,Q145,U145)-C145</f>
        <v>104.6</v>
      </c>
      <c r="AC145" s="220"/>
    </row>
    <row r="146" spans="1:29" s="38" customFormat="1" ht="15.75" customHeight="1">
      <c r="A146" s="222" t="s">
        <v>120</v>
      </c>
      <c r="B146" s="223"/>
      <c r="C146" s="159">
        <v>60</v>
      </c>
      <c r="D146" s="59">
        <v>114</v>
      </c>
      <c r="E146" s="50">
        <f>D146+C146</f>
        <v>174</v>
      </c>
      <c r="F146" s="226"/>
      <c r="G146" s="227"/>
      <c r="H146" s="98">
        <v>114</v>
      </c>
      <c r="I146" s="46">
        <f>C146+H146</f>
        <v>174</v>
      </c>
      <c r="J146" s="226"/>
      <c r="K146" s="227"/>
      <c r="L146" s="98">
        <v>113</v>
      </c>
      <c r="M146" s="50">
        <f>L146+C146</f>
        <v>173</v>
      </c>
      <c r="N146" s="226"/>
      <c r="O146" s="227"/>
      <c r="P146" s="98">
        <v>114</v>
      </c>
      <c r="Q146" s="50">
        <f>P146+C146</f>
        <v>174</v>
      </c>
      <c r="R146" s="226"/>
      <c r="S146" s="227"/>
      <c r="T146" s="98">
        <v>83</v>
      </c>
      <c r="U146" s="50">
        <f>T146+C146</f>
        <v>143</v>
      </c>
      <c r="V146" s="226"/>
      <c r="W146" s="227"/>
      <c r="X146" s="106">
        <f>D146+H146+L146+P146+T146</f>
        <v>538</v>
      </c>
      <c r="Y146" s="46">
        <f t="shared" si="8"/>
        <v>838</v>
      </c>
      <c r="Z146" s="73">
        <f t="shared" si="9"/>
        <v>538</v>
      </c>
      <c r="AA146" s="67">
        <f>AVERAGE(E146,I146,M146,Q146,U146)</f>
        <v>167.6</v>
      </c>
      <c r="AB146" s="67">
        <f>AVERAGE(E146,I146,M146,Q146,U146)-C146</f>
        <v>107.6</v>
      </c>
      <c r="AC146" s="220"/>
    </row>
    <row r="147" spans="1:29" s="38" customFormat="1" ht="15.75" customHeight="1" thickBot="1">
      <c r="A147" s="229" t="s">
        <v>121</v>
      </c>
      <c r="B147" s="230"/>
      <c r="C147" s="160">
        <v>60</v>
      </c>
      <c r="D147" s="60">
        <v>98</v>
      </c>
      <c r="E147" s="50">
        <f>D147+C147</f>
        <v>158</v>
      </c>
      <c r="F147" s="204"/>
      <c r="G147" s="228"/>
      <c r="H147" s="99">
        <v>110</v>
      </c>
      <c r="I147" s="46">
        <f>C147+H147</f>
        <v>170</v>
      </c>
      <c r="J147" s="204"/>
      <c r="K147" s="228"/>
      <c r="L147" s="99">
        <v>99</v>
      </c>
      <c r="M147" s="50">
        <f>L147+C147</f>
        <v>159</v>
      </c>
      <c r="N147" s="204"/>
      <c r="O147" s="228"/>
      <c r="P147" s="99">
        <v>95</v>
      </c>
      <c r="Q147" s="50">
        <f>P147+C147</f>
        <v>155</v>
      </c>
      <c r="R147" s="204"/>
      <c r="S147" s="228"/>
      <c r="T147" s="99">
        <v>90</v>
      </c>
      <c r="U147" s="50">
        <f>T147+C147</f>
        <v>150</v>
      </c>
      <c r="V147" s="204"/>
      <c r="W147" s="228"/>
      <c r="X147" s="107">
        <f>D147+H147+L147+P147+T147</f>
        <v>492</v>
      </c>
      <c r="Y147" s="47">
        <f t="shared" si="8"/>
        <v>792</v>
      </c>
      <c r="Z147" s="74">
        <f t="shared" si="9"/>
        <v>492</v>
      </c>
      <c r="AA147" s="68">
        <f>AVERAGE(E147,I147,M147,Q147,U147)</f>
        <v>158.4</v>
      </c>
      <c r="AB147" s="68">
        <f>AVERAGE(E147,I147,M147,Q147,U147)-C147</f>
        <v>98.4</v>
      </c>
      <c r="AC147" s="221"/>
    </row>
    <row r="148" spans="1:29" s="38" customFormat="1" ht="42" customHeight="1">
      <c r="A148" s="217" t="s">
        <v>110</v>
      </c>
      <c r="B148" s="218"/>
      <c r="C148" s="158">
        <f>SUM(C149:C151)</f>
        <v>172</v>
      </c>
      <c r="D148" s="62"/>
      <c r="E148" s="45">
        <f>SUM(E149:E151)</f>
        <v>562</v>
      </c>
      <c r="F148" s="45">
        <f>E128</f>
        <v>517</v>
      </c>
      <c r="G148" s="42" t="str">
        <f>A128</f>
        <v>VERX</v>
      </c>
      <c r="H148" s="100"/>
      <c r="I148" s="45">
        <f>SUM(I149:I151)</f>
        <v>498</v>
      </c>
      <c r="J148" s="45">
        <f>I136</f>
        <v>519</v>
      </c>
      <c r="K148" s="42" t="str">
        <f>A136</f>
        <v>ISOKUUL</v>
      </c>
      <c r="L148" s="102"/>
      <c r="M148" s="49">
        <f>SUM(M149:M151)</f>
        <v>470</v>
      </c>
      <c r="N148" s="45">
        <f>M144</f>
        <v>505</v>
      </c>
      <c r="O148" s="42" t="str">
        <f>A144</f>
        <v>Nordic Tsement</v>
      </c>
      <c r="P148" s="102"/>
      <c r="Q148" s="49">
        <f>SUM(Q149:Q151)</f>
        <v>628</v>
      </c>
      <c r="R148" s="45">
        <f>Q132</f>
        <v>559</v>
      </c>
      <c r="S148" s="42" t="str">
        <f>A132</f>
        <v>UUS MAA</v>
      </c>
      <c r="T148" s="102"/>
      <c r="U148" s="49">
        <f>SUM(U149:U151)</f>
        <v>547</v>
      </c>
      <c r="V148" s="45">
        <f>U140</f>
        <v>561</v>
      </c>
      <c r="W148" s="42" t="str">
        <f>A140</f>
        <v>RAKTOOM</v>
      </c>
      <c r="X148" s="105">
        <f>Y148-5*C148</f>
        <v>1845</v>
      </c>
      <c r="Y148" s="36">
        <f t="shared" si="8"/>
        <v>2705</v>
      </c>
      <c r="Z148" s="75">
        <f t="shared" si="9"/>
        <v>1845</v>
      </c>
      <c r="AA148" s="37">
        <f>AVERAGE(AA149,AA150,AA151)</f>
        <v>180.33333333333334</v>
      </c>
      <c r="AB148" s="37">
        <f>AVERAGE(AB149,AB150,AB151)</f>
        <v>123</v>
      </c>
      <c r="AC148" s="219">
        <f>F149+J149+N149+R149+V149</f>
        <v>2</v>
      </c>
    </row>
    <row r="149" spans="1:29" s="38" customFormat="1" ht="15.75" customHeight="1">
      <c r="A149" s="222" t="s">
        <v>125</v>
      </c>
      <c r="B149" s="223"/>
      <c r="C149" s="159">
        <v>60</v>
      </c>
      <c r="D149" s="59">
        <v>149</v>
      </c>
      <c r="E149" s="50">
        <f>D149+C149</f>
        <v>209</v>
      </c>
      <c r="F149" s="224">
        <v>1</v>
      </c>
      <c r="G149" s="225"/>
      <c r="H149" s="97">
        <v>115</v>
      </c>
      <c r="I149" s="46">
        <f>C149+H149</f>
        <v>175</v>
      </c>
      <c r="J149" s="224">
        <v>0</v>
      </c>
      <c r="K149" s="225"/>
      <c r="L149" s="97">
        <v>120</v>
      </c>
      <c r="M149" s="50">
        <f>L149+C149</f>
        <v>180</v>
      </c>
      <c r="N149" s="224">
        <v>0</v>
      </c>
      <c r="O149" s="225"/>
      <c r="P149" s="97">
        <v>133</v>
      </c>
      <c r="Q149" s="50">
        <f>P149+C149</f>
        <v>193</v>
      </c>
      <c r="R149" s="224">
        <v>1</v>
      </c>
      <c r="S149" s="225"/>
      <c r="T149" s="97">
        <v>140</v>
      </c>
      <c r="U149" s="50">
        <f>T149+C149</f>
        <v>200</v>
      </c>
      <c r="V149" s="224">
        <v>0</v>
      </c>
      <c r="W149" s="225"/>
      <c r="X149" s="106">
        <f>D149+H149+L149+P149+T149</f>
        <v>657</v>
      </c>
      <c r="Y149" s="46">
        <f t="shared" si="8"/>
        <v>957</v>
      </c>
      <c r="Z149" s="73">
        <f t="shared" si="9"/>
        <v>657</v>
      </c>
      <c r="AA149" s="67">
        <f>AVERAGE(E149,I149,M149,Q149,U149)</f>
        <v>191.4</v>
      </c>
      <c r="AB149" s="67">
        <f>AVERAGE(E149,I149,M149,Q149,U149)-C149</f>
        <v>131.4</v>
      </c>
      <c r="AC149" s="220"/>
    </row>
    <row r="150" spans="1:29" s="38" customFormat="1" ht="15.75" customHeight="1">
      <c r="A150" s="222" t="s">
        <v>124</v>
      </c>
      <c r="B150" s="223"/>
      <c r="C150" s="159">
        <v>60</v>
      </c>
      <c r="D150" s="59">
        <v>122</v>
      </c>
      <c r="E150" s="50">
        <f>D150+C150</f>
        <v>182</v>
      </c>
      <c r="F150" s="226"/>
      <c r="G150" s="227"/>
      <c r="H150" s="98">
        <v>111</v>
      </c>
      <c r="I150" s="46">
        <f>C150+H150</f>
        <v>171</v>
      </c>
      <c r="J150" s="226"/>
      <c r="K150" s="227"/>
      <c r="L150" s="98">
        <v>89</v>
      </c>
      <c r="M150" s="50">
        <f>L150+C150</f>
        <v>149</v>
      </c>
      <c r="N150" s="226"/>
      <c r="O150" s="227"/>
      <c r="P150" s="98">
        <v>185</v>
      </c>
      <c r="Q150" s="50">
        <f>P150+C150</f>
        <v>245</v>
      </c>
      <c r="R150" s="226"/>
      <c r="S150" s="227"/>
      <c r="T150" s="98">
        <v>110</v>
      </c>
      <c r="U150" s="50">
        <f>T150+C150</f>
        <v>170</v>
      </c>
      <c r="V150" s="226"/>
      <c r="W150" s="227"/>
      <c r="X150" s="106">
        <f>D150+H150+L150+P150+T150</f>
        <v>617</v>
      </c>
      <c r="Y150" s="46">
        <f t="shared" si="8"/>
        <v>917</v>
      </c>
      <c r="Z150" s="73">
        <f t="shared" si="9"/>
        <v>617</v>
      </c>
      <c r="AA150" s="67">
        <f>AVERAGE(E150,I150,M150,Q150,U150)</f>
        <v>183.4</v>
      </c>
      <c r="AB150" s="67">
        <f>AVERAGE(E150,I150,M150,Q150,U150)-C150</f>
        <v>123.4</v>
      </c>
      <c r="AC150" s="220"/>
    </row>
    <row r="151" spans="1:29" s="38" customFormat="1" ht="15.75" customHeight="1" thickBot="1">
      <c r="A151" s="229" t="s">
        <v>123</v>
      </c>
      <c r="B151" s="230"/>
      <c r="C151" s="160">
        <v>52</v>
      </c>
      <c r="D151" s="60">
        <v>119</v>
      </c>
      <c r="E151" s="47">
        <f>D151+C151</f>
        <v>171</v>
      </c>
      <c r="F151" s="204"/>
      <c r="G151" s="228"/>
      <c r="H151" s="99">
        <v>100</v>
      </c>
      <c r="I151" s="47">
        <f>C151+H151</f>
        <v>152</v>
      </c>
      <c r="J151" s="204"/>
      <c r="K151" s="228"/>
      <c r="L151" s="99">
        <v>89</v>
      </c>
      <c r="M151" s="47">
        <f>L151+C151</f>
        <v>141</v>
      </c>
      <c r="N151" s="204"/>
      <c r="O151" s="228"/>
      <c r="P151" s="99">
        <v>138</v>
      </c>
      <c r="Q151" s="47">
        <f>P151+C151</f>
        <v>190</v>
      </c>
      <c r="R151" s="204"/>
      <c r="S151" s="228"/>
      <c r="T151" s="99">
        <v>125</v>
      </c>
      <c r="U151" s="47">
        <f>T151+C151</f>
        <v>177</v>
      </c>
      <c r="V151" s="204"/>
      <c r="W151" s="228"/>
      <c r="X151" s="107">
        <f>D151+H151+L151+P151+T151</f>
        <v>571</v>
      </c>
      <c r="Y151" s="47">
        <f t="shared" si="8"/>
        <v>831</v>
      </c>
      <c r="Z151" s="74">
        <f t="shared" si="9"/>
        <v>571</v>
      </c>
      <c r="AA151" s="68">
        <f>AVERAGE(E151,I151,M151,Q151,U151)</f>
        <v>166.2</v>
      </c>
      <c r="AB151" s="68">
        <f>AVERAGE(E151,I151,M151,Q151,U151)-C151</f>
        <v>114.19999999999999</v>
      </c>
      <c r="AC151" s="221"/>
    </row>
    <row r="153" spans="1:29" s="40" customFormat="1" ht="8.25" customHeight="1">
      <c r="A153" s="39"/>
      <c r="B153" s="39"/>
      <c r="C153" s="161"/>
      <c r="D153" s="61"/>
      <c r="E153" s="22"/>
      <c r="F153" s="22"/>
      <c r="G153" s="22"/>
      <c r="H153" s="83"/>
      <c r="I153" s="22"/>
      <c r="J153" s="22"/>
      <c r="K153" s="22"/>
      <c r="L153" s="83"/>
      <c r="M153" s="22"/>
      <c r="N153" s="22"/>
      <c r="O153" s="22"/>
      <c r="P153" s="83"/>
      <c r="Q153" s="22"/>
      <c r="R153" s="22"/>
      <c r="S153" s="22"/>
      <c r="T153" s="83"/>
      <c r="U153" s="22"/>
      <c r="V153" s="24"/>
      <c r="W153" s="25"/>
      <c r="X153" s="57"/>
      <c r="Z153" s="70"/>
      <c r="AA153" s="41"/>
      <c r="AB153" s="121"/>
      <c r="AC153" s="25"/>
    </row>
    <row r="154" spans="1:29" s="40" customFormat="1" ht="11.25" customHeight="1">
      <c r="A154" s="233" t="s">
        <v>72</v>
      </c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4"/>
      <c r="W154" s="25"/>
      <c r="X154" s="57"/>
      <c r="Z154" s="70"/>
      <c r="AA154" s="41"/>
      <c r="AB154" s="121"/>
      <c r="AC154" s="25"/>
    </row>
    <row r="155" spans="1:29" s="40" customFormat="1" ht="24" customHeight="1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4"/>
      <c r="W155" s="25"/>
      <c r="X155" s="57"/>
      <c r="Z155" s="70"/>
      <c r="AA155" s="41"/>
      <c r="AB155" s="121"/>
      <c r="AC155" s="25"/>
    </row>
    <row r="156" spans="1:29" s="40" customFormat="1" ht="21.75" customHeight="1">
      <c r="A156" s="26"/>
      <c r="B156" s="26"/>
      <c r="C156" s="162"/>
      <c r="D156" s="54"/>
      <c r="E156" s="25"/>
      <c r="F156" s="25"/>
      <c r="G156" s="25"/>
      <c r="H156" s="57"/>
      <c r="I156" s="25"/>
      <c r="J156" s="25"/>
      <c r="K156" s="25"/>
      <c r="L156" s="57"/>
      <c r="M156" s="25"/>
      <c r="N156" s="25"/>
      <c r="O156" s="25"/>
      <c r="P156" s="57"/>
      <c r="Q156" s="25"/>
      <c r="R156" s="25"/>
      <c r="S156" s="25"/>
      <c r="T156" s="57"/>
      <c r="U156" s="25"/>
      <c r="V156" s="25"/>
      <c r="W156" s="25"/>
      <c r="X156" s="57"/>
      <c r="Z156" s="70"/>
      <c r="AA156" s="41"/>
      <c r="AB156" s="121"/>
      <c r="AC156" s="25"/>
    </row>
    <row r="157" spans="1:29" s="31" customFormat="1" ht="15.75" customHeight="1">
      <c r="A157" s="209" t="s">
        <v>0</v>
      </c>
      <c r="B157" s="210"/>
      <c r="C157" s="156" t="s">
        <v>39</v>
      </c>
      <c r="D157" s="55"/>
      <c r="E157" s="27" t="s">
        <v>1</v>
      </c>
      <c r="F157" s="211" t="s">
        <v>2</v>
      </c>
      <c r="G157" s="212"/>
      <c r="H157" s="94"/>
      <c r="I157" s="27" t="s">
        <v>3</v>
      </c>
      <c r="J157" s="211" t="s">
        <v>2</v>
      </c>
      <c r="K157" s="212"/>
      <c r="L157" s="94"/>
      <c r="M157" s="27" t="s">
        <v>4</v>
      </c>
      <c r="N157" s="211" t="s">
        <v>2</v>
      </c>
      <c r="O157" s="212"/>
      <c r="P157" s="94"/>
      <c r="Q157" s="27" t="s">
        <v>5</v>
      </c>
      <c r="R157" s="211" t="s">
        <v>2</v>
      </c>
      <c r="S157" s="212"/>
      <c r="T157" s="94"/>
      <c r="U157" s="27" t="s">
        <v>6</v>
      </c>
      <c r="V157" s="211" t="s">
        <v>2</v>
      </c>
      <c r="W157" s="212"/>
      <c r="X157" s="104"/>
      <c r="Y157" s="28" t="s">
        <v>7</v>
      </c>
      <c r="Z157" s="71"/>
      <c r="AA157" s="29" t="s">
        <v>40</v>
      </c>
      <c r="AB157" s="52" t="s">
        <v>42</v>
      </c>
      <c r="AC157" s="30" t="s">
        <v>7</v>
      </c>
    </row>
    <row r="158" spans="1:29" s="31" customFormat="1" ht="15.75" customHeight="1" thickBot="1">
      <c r="A158" s="213" t="s">
        <v>9</v>
      </c>
      <c r="B158" s="214"/>
      <c r="C158" s="157"/>
      <c r="D158" s="56"/>
      <c r="E158" s="32" t="s">
        <v>10</v>
      </c>
      <c r="F158" s="211" t="s">
        <v>11</v>
      </c>
      <c r="G158" s="212"/>
      <c r="H158" s="95"/>
      <c r="I158" s="32" t="s">
        <v>10</v>
      </c>
      <c r="J158" s="215" t="s">
        <v>11</v>
      </c>
      <c r="K158" s="216"/>
      <c r="L158" s="95"/>
      <c r="M158" s="32" t="s">
        <v>10</v>
      </c>
      <c r="N158" s="215" t="s">
        <v>11</v>
      </c>
      <c r="O158" s="216"/>
      <c r="P158" s="95"/>
      <c r="Q158" s="32" t="s">
        <v>10</v>
      </c>
      <c r="R158" s="215" t="s">
        <v>11</v>
      </c>
      <c r="S158" s="216"/>
      <c r="T158" s="95"/>
      <c r="U158" s="32" t="s">
        <v>10</v>
      </c>
      <c r="V158" s="215" t="s">
        <v>11</v>
      </c>
      <c r="W158" s="216"/>
      <c r="X158" s="84"/>
      <c r="Y158" s="33" t="s">
        <v>10</v>
      </c>
      <c r="Z158" s="72"/>
      <c r="AA158" s="34" t="s">
        <v>41</v>
      </c>
      <c r="AB158" s="53" t="s">
        <v>43</v>
      </c>
      <c r="AC158" s="35" t="s">
        <v>12</v>
      </c>
    </row>
    <row r="159" spans="1:29" s="38" customFormat="1" ht="42" customHeight="1">
      <c r="A159" s="217" t="s">
        <v>73</v>
      </c>
      <c r="B159" s="218"/>
      <c r="C159" s="158">
        <f>SUM(C160:C162)</f>
        <v>122</v>
      </c>
      <c r="D159" s="62"/>
      <c r="E159" s="63">
        <f>SUM(E160:E162)</f>
        <v>518</v>
      </c>
      <c r="F159" s="46">
        <f>E179</f>
        <v>514</v>
      </c>
      <c r="G159" s="64" t="str">
        <f>A179</f>
        <v>Meistrid&amp; Margarita</v>
      </c>
      <c r="H159" s="96"/>
      <c r="I159" s="49">
        <f>SUM(I160:I162)</f>
        <v>610</v>
      </c>
      <c r="J159" s="49">
        <f>I175</f>
        <v>543</v>
      </c>
      <c r="K159" s="42" t="str">
        <f>A175</f>
        <v>Planray</v>
      </c>
      <c r="L159" s="100"/>
      <c r="M159" s="45">
        <f>SUM(M160:M162)</f>
        <v>540</v>
      </c>
      <c r="N159" s="45">
        <f>M171</f>
        <v>554</v>
      </c>
      <c r="O159" s="42" t="str">
        <f>A171</f>
        <v>SADO</v>
      </c>
      <c r="P159" s="100"/>
      <c r="Q159" s="45">
        <f>SUM(Q160:Q162)</f>
        <v>556</v>
      </c>
      <c r="R159" s="45">
        <f>Q167</f>
        <v>554</v>
      </c>
      <c r="S159" s="42" t="str">
        <f>A167</f>
        <v>LATER</v>
      </c>
      <c r="T159" s="100"/>
      <c r="U159" s="45">
        <f>SUM(U160:U162)</f>
        <v>634</v>
      </c>
      <c r="V159" s="45">
        <f>U163</f>
        <v>549</v>
      </c>
      <c r="W159" s="42" t="str">
        <f>A163</f>
        <v>Vest-Wood 3</v>
      </c>
      <c r="X159" s="105">
        <f>Y159-5*C159</f>
        <v>2248</v>
      </c>
      <c r="Y159" s="36">
        <f aca="true" t="shared" si="10" ref="Y159:Y182">E159+I159+M159+Q159+U159</f>
        <v>2858</v>
      </c>
      <c r="Z159" s="73">
        <f aca="true" t="shared" si="11" ref="Z159:Z182">Y159-5*C159</f>
        <v>2248</v>
      </c>
      <c r="AA159" s="37">
        <f>AVERAGE(AA160,AA161,AA162)</f>
        <v>190.53333333333333</v>
      </c>
      <c r="AB159" s="65">
        <f>AVERAGE(AB160,AB161,AB162)</f>
        <v>149.86666666666667</v>
      </c>
      <c r="AC159" s="219">
        <f>F160+J160+N160+R160+V160</f>
        <v>4</v>
      </c>
    </row>
    <row r="160" spans="1:29" s="38" customFormat="1" ht="15.75">
      <c r="A160" s="222" t="s">
        <v>92</v>
      </c>
      <c r="B160" s="223"/>
      <c r="C160" s="159">
        <v>60</v>
      </c>
      <c r="D160" s="59">
        <v>103</v>
      </c>
      <c r="E160" s="50">
        <f>C160+D160</f>
        <v>163</v>
      </c>
      <c r="F160" s="224">
        <v>1</v>
      </c>
      <c r="G160" s="225"/>
      <c r="H160" s="97">
        <v>100</v>
      </c>
      <c r="I160" s="46">
        <f>C160+H160</f>
        <v>160</v>
      </c>
      <c r="J160" s="224">
        <v>1</v>
      </c>
      <c r="K160" s="225"/>
      <c r="L160" s="97">
        <v>106</v>
      </c>
      <c r="M160" s="50">
        <f>C160+L160</f>
        <v>166</v>
      </c>
      <c r="N160" s="224">
        <v>0</v>
      </c>
      <c r="O160" s="225"/>
      <c r="P160" s="97">
        <v>125</v>
      </c>
      <c r="Q160" s="50">
        <f>P160+C160</f>
        <v>185</v>
      </c>
      <c r="R160" s="224">
        <v>1</v>
      </c>
      <c r="S160" s="225"/>
      <c r="T160" s="97">
        <v>176</v>
      </c>
      <c r="U160" s="50">
        <f>T160+C160</f>
        <v>236</v>
      </c>
      <c r="V160" s="224">
        <v>1</v>
      </c>
      <c r="W160" s="225"/>
      <c r="X160" s="106">
        <f>D160+H160+L160+P160+T160</f>
        <v>610</v>
      </c>
      <c r="Y160" s="46">
        <f t="shared" si="10"/>
        <v>910</v>
      </c>
      <c r="Z160" s="73">
        <f t="shared" si="11"/>
        <v>610</v>
      </c>
      <c r="AA160" s="67">
        <f>AVERAGE(E160,I160,M160,Q160,U160)</f>
        <v>182</v>
      </c>
      <c r="AB160" s="67">
        <f>AVERAGE(E160,I160,M160,Q160,U160)-C160</f>
        <v>122</v>
      </c>
      <c r="AC160" s="220"/>
    </row>
    <row r="161" spans="1:29" s="38" customFormat="1" ht="15.75">
      <c r="A161" s="222" t="s">
        <v>93</v>
      </c>
      <c r="B161" s="223"/>
      <c r="C161" s="159">
        <v>33</v>
      </c>
      <c r="D161" s="59">
        <v>155</v>
      </c>
      <c r="E161" s="50">
        <f>C161+D161</f>
        <v>188</v>
      </c>
      <c r="F161" s="226"/>
      <c r="G161" s="227"/>
      <c r="H161" s="98">
        <v>210</v>
      </c>
      <c r="I161" s="46">
        <f>C161+H161</f>
        <v>243</v>
      </c>
      <c r="J161" s="226"/>
      <c r="K161" s="227"/>
      <c r="L161" s="98">
        <v>153</v>
      </c>
      <c r="M161" s="50">
        <f>C161+L161</f>
        <v>186</v>
      </c>
      <c r="N161" s="226"/>
      <c r="O161" s="227"/>
      <c r="P161" s="98">
        <v>154</v>
      </c>
      <c r="Q161" s="50">
        <f>P161+C161</f>
        <v>187</v>
      </c>
      <c r="R161" s="226"/>
      <c r="S161" s="227"/>
      <c r="T161" s="98">
        <v>162</v>
      </c>
      <c r="U161" s="50">
        <f>T161+C161</f>
        <v>195</v>
      </c>
      <c r="V161" s="226"/>
      <c r="W161" s="227"/>
      <c r="X161" s="106">
        <f>D161+H161+L161+P161+T161</f>
        <v>834</v>
      </c>
      <c r="Y161" s="46">
        <f t="shared" si="10"/>
        <v>999</v>
      </c>
      <c r="Z161" s="73">
        <f t="shared" si="11"/>
        <v>834</v>
      </c>
      <c r="AA161" s="67">
        <f>AVERAGE(E161,I161,M161,Q161,U161)</f>
        <v>199.8</v>
      </c>
      <c r="AB161" s="67">
        <f>AVERAGE(E161,I161,M161,Q161,U161)-C161</f>
        <v>166.8</v>
      </c>
      <c r="AC161" s="220"/>
    </row>
    <row r="162" spans="1:29" s="38" customFormat="1" ht="16.5" thickBot="1">
      <c r="A162" s="229" t="s">
        <v>94</v>
      </c>
      <c r="B162" s="230"/>
      <c r="C162" s="160">
        <v>29</v>
      </c>
      <c r="D162" s="60">
        <v>138</v>
      </c>
      <c r="E162" s="50">
        <f>C162+D162</f>
        <v>167</v>
      </c>
      <c r="F162" s="204"/>
      <c r="G162" s="228"/>
      <c r="H162" s="99">
        <v>178</v>
      </c>
      <c r="I162" s="46">
        <f>C162+H162</f>
        <v>207</v>
      </c>
      <c r="J162" s="204"/>
      <c r="K162" s="228"/>
      <c r="L162" s="99">
        <v>159</v>
      </c>
      <c r="M162" s="50">
        <f>C162+L162</f>
        <v>188</v>
      </c>
      <c r="N162" s="204"/>
      <c r="O162" s="228"/>
      <c r="P162" s="99">
        <v>155</v>
      </c>
      <c r="Q162" s="50">
        <f>P162+C162</f>
        <v>184</v>
      </c>
      <c r="R162" s="204"/>
      <c r="S162" s="228"/>
      <c r="T162" s="99">
        <v>174</v>
      </c>
      <c r="U162" s="50">
        <f>T162+C162</f>
        <v>203</v>
      </c>
      <c r="V162" s="204"/>
      <c r="W162" s="228"/>
      <c r="X162" s="107">
        <f>D162+H162+L162+P162+T162</f>
        <v>804</v>
      </c>
      <c r="Y162" s="47">
        <f t="shared" si="10"/>
        <v>949</v>
      </c>
      <c r="Z162" s="74">
        <f t="shared" si="11"/>
        <v>804</v>
      </c>
      <c r="AA162" s="68">
        <f>AVERAGE(E162,I162,M162,Q162,U162)</f>
        <v>189.8</v>
      </c>
      <c r="AB162" s="68">
        <f>AVERAGE(E162,I162,M162,Q162,U162)-C162</f>
        <v>160.8</v>
      </c>
      <c r="AC162" s="221"/>
    </row>
    <row r="163" spans="1:29" s="38" customFormat="1" ht="41.25" customHeight="1">
      <c r="A163" s="234" t="s">
        <v>74</v>
      </c>
      <c r="B163" s="235"/>
      <c r="C163" s="158">
        <f>SUM(C164:C166)</f>
        <v>153</v>
      </c>
      <c r="D163" s="62"/>
      <c r="E163" s="45">
        <f>SUM(E164:E166)</f>
        <v>574</v>
      </c>
      <c r="F163" s="45">
        <f>E175</f>
        <v>505</v>
      </c>
      <c r="G163" s="42" t="str">
        <f>A175</f>
        <v>Planray</v>
      </c>
      <c r="H163" s="100"/>
      <c r="I163" s="45">
        <f>SUM(I164:I166)</f>
        <v>545</v>
      </c>
      <c r="J163" s="45">
        <f>I171</f>
        <v>548</v>
      </c>
      <c r="K163" s="42" t="str">
        <f>A171</f>
        <v>SADO</v>
      </c>
      <c r="L163" s="102"/>
      <c r="M163" s="49">
        <f>SUM(M164:M166)</f>
        <v>521</v>
      </c>
      <c r="N163" s="45">
        <f>M167</f>
        <v>528</v>
      </c>
      <c r="O163" s="42" t="str">
        <f>A167</f>
        <v>LATER</v>
      </c>
      <c r="P163" s="102"/>
      <c r="Q163" s="49">
        <f>SUM(Q164:Q166)</f>
        <v>562</v>
      </c>
      <c r="R163" s="45">
        <f>Q179</f>
        <v>626</v>
      </c>
      <c r="S163" s="42" t="str">
        <f>A179</f>
        <v>Meistrid&amp; Margarita</v>
      </c>
      <c r="T163" s="102"/>
      <c r="U163" s="49">
        <f>SUM(U164:U166)</f>
        <v>549</v>
      </c>
      <c r="V163" s="45">
        <f>U159</f>
        <v>634</v>
      </c>
      <c r="W163" s="42" t="str">
        <f>A159</f>
        <v>KLG VIRU</v>
      </c>
      <c r="X163" s="105">
        <f>Y163-5*C163</f>
        <v>1986</v>
      </c>
      <c r="Y163" s="36">
        <f t="shared" si="10"/>
        <v>2751</v>
      </c>
      <c r="Z163" s="75">
        <f t="shared" si="11"/>
        <v>1986</v>
      </c>
      <c r="AA163" s="37">
        <f>AVERAGE(AA164,AA165,AA166)</f>
        <v>183.4</v>
      </c>
      <c r="AB163" s="37">
        <f>AVERAGE(AB164,AB165,AB166)</f>
        <v>132.4</v>
      </c>
      <c r="AC163" s="220">
        <f>F164+J164+N164+R164+V164</f>
        <v>1</v>
      </c>
    </row>
    <row r="164" spans="1:29" s="38" customFormat="1" ht="15.75" customHeight="1">
      <c r="A164" s="222" t="s">
        <v>81</v>
      </c>
      <c r="B164" s="223"/>
      <c r="C164" s="159">
        <v>40</v>
      </c>
      <c r="D164" s="59">
        <v>192</v>
      </c>
      <c r="E164" s="50">
        <f>C164+D164</f>
        <v>232</v>
      </c>
      <c r="F164" s="224">
        <v>1</v>
      </c>
      <c r="G164" s="225"/>
      <c r="H164" s="97">
        <v>148</v>
      </c>
      <c r="I164" s="46">
        <f>C164+H164</f>
        <v>188</v>
      </c>
      <c r="J164" s="224">
        <v>0</v>
      </c>
      <c r="K164" s="225"/>
      <c r="L164" s="97">
        <v>164</v>
      </c>
      <c r="M164" s="50">
        <f>C164+L164</f>
        <v>204</v>
      </c>
      <c r="N164" s="224">
        <v>0</v>
      </c>
      <c r="O164" s="225"/>
      <c r="P164" s="97">
        <v>172</v>
      </c>
      <c r="Q164" s="50">
        <f>P164+C164</f>
        <v>212</v>
      </c>
      <c r="R164" s="224">
        <v>0</v>
      </c>
      <c r="S164" s="225"/>
      <c r="T164" s="97">
        <v>138</v>
      </c>
      <c r="U164" s="50">
        <f>T164+C164</f>
        <v>178</v>
      </c>
      <c r="V164" s="224">
        <v>0</v>
      </c>
      <c r="W164" s="225"/>
      <c r="X164" s="106">
        <f>D164+H164+L164+P164+T164</f>
        <v>814</v>
      </c>
      <c r="Y164" s="46">
        <f t="shared" si="10"/>
        <v>1014</v>
      </c>
      <c r="Z164" s="73">
        <f t="shared" si="11"/>
        <v>814</v>
      </c>
      <c r="AA164" s="67">
        <f>AVERAGE(E164,I164,M164,Q164,U164)</f>
        <v>202.8</v>
      </c>
      <c r="AB164" s="67">
        <f>AVERAGE(E164,I164,M164,Q164,U164)-C164</f>
        <v>162.8</v>
      </c>
      <c r="AC164" s="220"/>
    </row>
    <row r="165" spans="1:29" s="38" customFormat="1" ht="15.75" customHeight="1">
      <c r="A165" s="222" t="s">
        <v>82</v>
      </c>
      <c r="B165" s="223"/>
      <c r="C165" s="159">
        <v>60</v>
      </c>
      <c r="D165" s="59">
        <v>114</v>
      </c>
      <c r="E165" s="50">
        <f>C165+D165</f>
        <v>174</v>
      </c>
      <c r="F165" s="226"/>
      <c r="G165" s="227"/>
      <c r="H165" s="98">
        <v>94</v>
      </c>
      <c r="I165" s="46">
        <f>C165+H165</f>
        <v>154</v>
      </c>
      <c r="J165" s="226"/>
      <c r="K165" s="227"/>
      <c r="L165" s="98">
        <v>95</v>
      </c>
      <c r="M165" s="50">
        <f>C165+L165</f>
        <v>155</v>
      </c>
      <c r="N165" s="226"/>
      <c r="O165" s="227"/>
      <c r="P165" s="98">
        <v>114</v>
      </c>
      <c r="Q165" s="50">
        <f>P165+C165</f>
        <v>174</v>
      </c>
      <c r="R165" s="226"/>
      <c r="S165" s="227"/>
      <c r="T165" s="98">
        <v>116</v>
      </c>
      <c r="U165" s="50">
        <f>T165+C165</f>
        <v>176</v>
      </c>
      <c r="V165" s="226"/>
      <c r="W165" s="227"/>
      <c r="X165" s="106">
        <f>D165+H165+L165+P165+T165</f>
        <v>533</v>
      </c>
      <c r="Y165" s="46">
        <f t="shared" si="10"/>
        <v>833</v>
      </c>
      <c r="Z165" s="73">
        <f t="shared" si="11"/>
        <v>533</v>
      </c>
      <c r="AA165" s="67">
        <f>AVERAGE(E165,I165,M165,Q165,U165)</f>
        <v>166.6</v>
      </c>
      <c r="AB165" s="67">
        <f>AVERAGE(E165,I165,M165,Q165,U165)-C165</f>
        <v>106.6</v>
      </c>
      <c r="AC165" s="220"/>
    </row>
    <row r="166" spans="1:29" s="38" customFormat="1" ht="15.75" customHeight="1" thickBot="1">
      <c r="A166" s="229" t="s">
        <v>83</v>
      </c>
      <c r="B166" s="230"/>
      <c r="C166" s="160">
        <v>53</v>
      </c>
      <c r="D166" s="60">
        <v>115</v>
      </c>
      <c r="E166" s="50">
        <f>C166+D166</f>
        <v>168</v>
      </c>
      <c r="F166" s="204"/>
      <c r="G166" s="228"/>
      <c r="H166" s="99">
        <v>150</v>
      </c>
      <c r="I166" s="46">
        <f>C166+H166</f>
        <v>203</v>
      </c>
      <c r="J166" s="204"/>
      <c r="K166" s="228"/>
      <c r="L166" s="99">
        <v>109</v>
      </c>
      <c r="M166" s="50">
        <f>C166+L166</f>
        <v>162</v>
      </c>
      <c r="N166" s="204"/>
      <c r="O166" s="228"/>
      <c r="P166" s="99">
        <v>123</v>
      </c>
      <c r="Q166" s="50">
        <f>P166+C166</f>
        <v>176</v>
      </c>
      <c r="R166" s="204"/>
      <c r="S166" s="228"/>
      <c r="T166" s="99">
        <v>142</v>
      </c>
      <c r="U166" s="50">
        <f>T166+C166</f>
        <v>195</v>
      </c>
      <c r="V166" s="204"/>
      <c r="W166" s="228"/>
      <c r="X166" s="107">
        <f>D166+H166+L166+P166+T166</f>
        <v>639</v>
      </c>
      <c r="Y166" s="47">
        <f t="shared" si="10"/>
        <v>904</v>
      </c>
      <c r="Z166" s="74">
        <f t="shared" si="11"/>
        <v>639</v>
      </c>
      <c r="AA166" s="68">
        <f>AVERAGE(E166,I166,M166,Q166,U166)</f>
        <v>180.8</v>
      </c>
      <c r="AB166" s="68">
        <f>AVERAGE(E166,I166,M166,Q166,U166)-C166</f>
        <v>127.80000000000001</v>
      </c>
      <c r="AC166" s="221"/>
    </row>
    <row r="167" spans="1:29" s="38" customFormat="1" ht="47.25" customHeight="1">
      <c r="A167" s="234" t="s">
        <v>75</v>
      </c>
      <c r="B167" s="235"/>
      <c r="C167" s="158">
        <f>SUM(C168:C170)</f>
        <v>102</v>
      </c>
      <c r="D167" s="62"/>
      <c r="E167" s="45">
        <f>SUM(E168:E170)</f>
        <v>517</v>
      </c>
      <c r="F167" s="45">
        <f>E171</f>
        <v>580</v>
      </c>
      <c r="G167" s="42" t="str">
        <f>A171</f>
        <v>SADO</v>
      </c>
      <c r="H167" s="100"/>
      <c r="I167" s="45">
        <f>SUM(I168:I170)</f>
        <v>528</v>
      </c>
      <c r="J167" s="45">
        <f>I179</f>
        <v>607</v>
      </c>
      <c r="K167" s="42" t="str">
        <f>A179</f>
        <v>Meistrid&amp; Margarita</v>
      </c>
      <c r="L167" s="103"/>
      <c r="M167" s="69">
        <f>SUM(M168:M170)</f>
        <v>528</v>
      </c>
      <c r="N167" s="45">
        <f>M163</f>
        <v>521</v>
      </c>
      <c r="O167" s="42" t="str">
        <f>A163</f>
        <v>Vest-Wood 3</v>
      </c>
      <c r="P167" s="103"/>
      <c r="Q167" s="69">
        <f>SUM(Q168:Q170)</f>
        <v>554</v>
      </c>
      <c r="R167" s="45">
        <f>Q159</f>
        <v>556</v>
      </c>
      <c r="S167" s="42" t="str">
        <f>A159</f>
        <v>KLG VIRU</v>
      </c>
      <c r="T167" s="103"/>
      <c r="U167" s="69">
        <f>SUM(U168:U170)</f>
        <v>534</v>
      </c>
      <c r="V167" s="45">
        <f>U175</f>
        <v>476</v>
      </c>
      <c r="W167" s="42" t="str">
        <f>A175</f>
        <v>Planray</v>
      </c>
      <c r="X167" s="105">
        <f>Y167-5*C167</f>
        <v>2151</v>
      </c>
      <c r="Y167" s="36">
        <f t="shared" si="10"/>
        <v>2661</v>
      </c>
      <c r="Z167" s="75">
        <f t="shared" si="11"/>
        <v>2151</v>
      </c>
      <c r="AA167" s="37">
        <f>AVERAGE(AA168,AA169,AA170)</f>
        <v>177.4</v>
      </c>
      <c r="AB167" s="37">
        <f>AVERAGE(AB168,AB169,AB170)</f>
        <v>143.4</v>
      </c>
      <c r="AC167" s="219">
        <f>F168+J168+N168+R168+V168</f>
        <v>2</v>
      </c>
    </row>
    <row r="168" spans="1:29" s="38" customFormat="1" ht="15.75" customHeight="1">
      <c r="A168" s="222" t="s">
        <v>84</v>
      </c>
      <c r="B168" s="223"/>
      <c r="C168" s="159">
        <v>31</v>
      </c>
      <c r="D168" s="59">
        <v>158</v>
      </c>
      <c r="E168" s="50">
        <f>C168+D168</f>
        <v>189</v>
      </c>
      <c r="F168" s="224">
        <v>0</v>
      </c>
      <c r="G168" s="225"/>
      <c r="H168" s="97">
        <v>134</v>
      </c>
      <c r="I168" s="46">
        <f>C168+H168</f>
        <v>165</v>
      </c>
      <c r="J168" s="224">
        <v>0</v>
      </c>
      <c r="K168" s="225"/>
      <c r="L168" s="97">
        <v>147</v>
      </c>
      <c r="M168" s="50">
        <f>C168+L168</f>
        <v>178</v>
      </c>
      <c r="N168" s="224">
        <v>1</v>
      </c>
      <c r="O168" s="225"/>
      <c r="P168" s="97">
        <v>195</v>
      </c>
      <c r="Q168" s="50">
        <f>P168+C168</f>
        <v>226</v>
      </c>
      <c r="R168" s="224">
        <v>0</v>
      </c>
      <c r="S168" s="225"/>
      <c r="T168" s="97">
        <v>134</v>
      </c>
      <c r="U168" s="50">
        <f>T168+C168</f>
        <v>165</v>
      </c>
      <c r="V168" s="224">
        <v>1</v>
      </c>
      <c r="W168" s="225"/>
      <c r="X168" s="106">
        <f>D168+H168+L168+P168+T168</f>
        <v>768</v>
      </c>
      <c r="Y168" s="46">
        <f t="shared" si="10"/>
        <v>923</v>
      </c>
      <c r="Z168" s="73">
        <f t="shared" si="11"/>
        <v>768</v>
      </c>
      <c r="AA168" s="67">
        <f>AVERAGE(E168,I168,M168,Q168,U168)</f>
        <v>184.6</v>
      </c>
      <c r="AB168" s="67">
        <f>AVERAGE(E168,I168,M168,Q168,U168)-C168</f>
        <v>153.6</v>
      </c>
      <c r="AC168" s="220"/>
    </row>
    <row r="169" spans="1:29" s="38" customFormat="1" ht="15.75" customHeight="1">
      <c r="A169" s="222" t="s">
        <v>85</v>
      </c>
      <c r="B169" s="223"/>
      <c r="C169" s="159">
        <v>46</v>
      </c>
      <c r="D169" s="59">
        <v>120</v>
      </c>
      <c r="E169" s="50">
        <f>C169+D169</f>
        <v>166</v>
      </c>
      <c r="F169" s="226"/>
      <c r="G169" s="227"/>
      <c r="H169" s="98">
        <v>144</v>
      </c>
      <c r="I169" s="46">
        <f>C169+H169</f>
        <v>190</v>
      </c>
      <c r="J169" s="226"/>
      <c r="K169" s="227"/>
      <c r="L169" s="98">
        <v>124</v>
      </c>
      <c r="M169" s="50">
        <f>C169+L169</f>
        <v>170</v>
      </c>
      <c r="N169" s="226"/>
      <c r="O169" s="227"/>
      <c r="P169" s="98">
        <v>108</v>
      </c>
      <c r="Q169" s="50">
        <f>P169+C169</f>
        <v>154</v>
      </c>
      <c r="R169" s="226"/>
      <c r="S169" s="227"/>
      <c r="T169" s="98">
        <v>128</v>
      </c>
      <c r="U169" s="50">
        <f>T169+C169</f>
        <v>174</v>
      </c>
      <c r="V169" s="226"/>
      <c r="W169" s="227"/>
      <c r="X169" s="106">
        <f>D169+H169+L169+P169+T169</f>
        <v>624</v>
      </c>
      <c r="Y169" s="46">
        <f t="shared" si="10"/>
        <v>854</v>
      </c>
      <c r="Z169" s="73">
        <f t="shared" si="11"/>
        <v>624</v>
      </c>
      <c r="AA169" s="67">
        <f>AVERAGE(E169,I169,M169,Q169,U169)</f>
        <v>170.8</v>
      </c>
      <c r="AB169" s="67">
        <f>AVERAGE(E169,I169,M169,Q169,U169)-C169</f>
        <v>124.80000000000001</v>
      </c>
      <c r="AC169" s="220"/>
    </row>
    <row r="170" spans="1:29" s="38" customFormat="1" ht="15.75" customHeight="1" thickBot="1">
      <c r="A170" s="229" t="s">
        <v>86</v>
      </c>
      <c r="B170" s="230"/>
      <c r="C170" s="160">
        <v>25</v>
      </c>
      <c r="D170" s="60">
        <v>137</v>
      </c>
      <c r="E170" s="47">
        <f>C170+D170</f>
        <v>162</v>
      </c>
      <c r="F170" s="204"/>
      <c r="G170" s="228"/>
      <c r="H170" s="99">
        <v>148</v>
      </c>
      <c r="I170" s="46">
        <f>C170+H170</f>
        <v>173</v>
      </c>
      <c r="J170" s="204"/>
      <c r="K170" s="228"/>
      <c r="L170" s="99">
        <v>155</v>
      </c>
      <c r="M170" s="50">
        <f>C170+L170</f>
        <v>180</v>
      </c>
      <c r="N170" s="204"/>
      <c r="O170" s="228"/>
      <c r="P170" s="99">
        <v>149</v>
      </c>
      <c r="Q170" s="50">
        <f>P170+C170</f>
        <v>174</v>
      </c>
      <c r="R170" s="204"/>
      <c r="S170" s="228"/>
      <c r="T170" s="99">
        <v>170</v>
      </c>
      <c r="U170" s="50">
        <f>T170+C170</f>
        <v>195</v>
      </c>
      <c r="V170" s="204"/>
      <c r="W170" s="228"/>
      <c r="X170" s="107">
        <f>D170+H170+L170+P170+T170</f>
        <v>759</v>
      </c>
      <c r="Y170" s="47">
        <f t="shared" si="10"/>
        <v>884</v>
      </c>
      <c r="Z170" s="74">
        <f t="shared" si="11"/>
        <v>759</v>
      </c>
      <c r="AA170" s="68">
        <f>AVERAGE(E170,I170,M170,Q170,U170)</f>
        <v>176.8</v>
      </c>
      <c r="AB170" s="68">
        <f>AVERAGE(E170,I170,M170,Q170,U170)-C170</f>
        <v>151.8</v>
      </c>
      <c r="AC170" s="221"/>
    </row>
    <row r="171" spans="1:29" s="38" customFormat="1" ht="36" customHeight="1">
      <c r="A171" s="217" t="s">
        <v>76</v>
      </c>
      <c r="B171" s="218"/>
      <c r="C171" s="158">
        <f>SUM(C172:C174)</f>
        <v>119</v>
      </c>
      <c r="D171" s="92"/>
      <c r="E171" s="48">
        <f>SUM(E172:E174)</f>
        <v>580</v>
      </c>
      <c r="F171" s="48">
        <f>E167</f>
        <v>517</v>
      </c>
      <c r="G171" s="43" t="str">
        <f>A167</f>
        <v>LATER</v>
      </c>
      <c r="H171" s="101"/>
      <c r="I171" s="48">
        <f>SUM(I172:I174)</f>
        <v>548</v>
      </c>
      <c r="J171" s="48">
        <f>I163</f>
        <v>545</v>
      </c>
      <c r="K171" s="43" t="str">
        <f>A163</f>
        <v>Vest-Wood 3</v>
      </c>
      <c r="L171" s="96"/>
      <c r="M171" s="49">
        <f>SUM(M172:M174)</f>
        <v>554</v>
      </c>
      <c r="N171" s="48">
        <f>M159</f>
        <v>540</v>
      </c>
      <c r="O171" s="43" t="str">
        <f>A159</f>
        <v>KLG VIRU</v>
      </c>
      <c r="P171" s="96"/>
      <c r="Q171" s="49">
        <f>SUM(Q172:Q174)</f>
        <v>481</v>
      </c>
      <c r="R171" s="48">
        <f>Q175</f>
        <v>541</v>
      </c>
      <c r="S171" s="43" t="str">
        <f>A175</f>
        <v>Planray</v>
      </c>
      <c r="T171" s="96"/>
      <c r="U171" s="49">
        <f>SUM(U172:U174)</f>
        <v>544</v>
      </c>
      <c r="V171" s="48">
        <f>U179</f>
        <v>584</v>
      </c>
      <c r="W171" s="43" t="str">
        <f>A179</f>
        <v>Meistrid&amp; Margarita</v>
      </c>
      <c r="X171" s="105">
        <f>Y171-5*C171</f>
        <v>2112</v>
      </c>
      <c r="Y171" s="36">
        <f t="shared" si="10"/>
        <v>2707</v>
      </c>
      <c r="Z171" s="75">
        <f t="shared" si="11"/>
        <v>2112</v>
      </c>
      <c r="AA171" s="37">
        <f>AVERAGE(AA172,AA173,AA174)</f>
        <v>180.46666666666667</v>
      </c>
      <c r="AB171" s="37">
        <f>AVERAGE(AB172,AB173,AB174)</f>
        <v>140.79999999999998</v>
      </c>
      <c r="AC171" s="219">
        <f>F172+J172+N172+R172+V172</f>
        <v>3</v>
      </c>
    </row>
    <row r="172" spans="1:29" s="38" customFormat="1" ht="15.75" customHeight="1">
      <c r="A172" s="222" t="s">
        <v>90</v>
      </c>
      <c r="B172" s="223"/>
      <c r="C172" s="159">
        <v>36</v>
      </c>
      <c r="D172" s="59">
        <v>152</v>
      </c>
      <c r="E172" s="50">
        <f>C172+D172</f>
        <v>188</v>
      </c>
      <c r="F172" s="224">
        <v>1</v>
      </c>
      <c r="G172" s="225"/>
      <c r="H172" s="97">
        <v>157</v>
      </c>
      <c r="I172" s="46">
        <f>C172+H172</f>
        <v>193</v>
      </c>
      <c r="J172" s="224">
        <v>1</v>
      </c>
      <c r="K172" s="225"/>
      <c r="L172" s="97">
        <v>136</v>
      </c>
      <c r="M172" s="50">
        <f>C172+L172</f>
        <v>172</v>
      </c>
      <c r="N172" s="224">
        <v>1</v>
      </c>
      <c r="O172" s="225"/>
      <c r="P172" s="97">
        <v>118</v>
      </c>
      <c r="Q172" s="50">
        <f>P172+C172</f>
        <v>154</v>
      </c>
      <c r="R172" s="224">
        <v>0</v>
      </c>
      <c r="S172" s="225"/>
      <c r="T172" s="97">
        <v>122</v>
      </c>
      <c r="U172" s="50">
        <f>T172+C172</f>
        <v>158</v>
      </c>
      <c r="V172" s="224">
        <v>0</v>
      </c>
      <c r="W172" s="225"/>
      <c r="X172" s="106">
        <f>D172+H172+L172+P172+T172</f>
        <v>685</v>
      </c>
      <c r="Y172" s="46">
        <f t="shared" si="10"/>
        <v>865</v>
      </c>
      <c r="Z172" s="73">
        <f t="shared" si="11"/>
        <v>685</v>
      </c>
      <c r="AA172" s="67">
        <f>AVERAGE(E172,I172,M172,Q172,U172)</f>
        <v>173</v>
      </c>
      <c r="AB172" s="67">
        <f>AVERAGE(E172,I172,M172,Q172,U172)-C172</f>
        <v>137</v>
      </c>
      <c r="AC172" s="220"/>
    </row>
    <row r="173" spans="1:29" s="38" customFormat="1" ht="15.75" customHeight="1">
      <c r="A173" s="222" t="s">
        <v>98</v>
      </c>
      <c r="B173" s="223"/>
      <c r="C173" s="159">
        <v>60</v>
      </c>
      <c r="D173" s="59">
        <v>153</v>
      </c>
      <c r="E173" s="50">
        <f>C173+D173</f>
        <v>213</v>
      </c>
      <c r="F173" s="226"/>
      <c r="G173" s="227"/>
      <c r="H173" s="98">
        <v>123</v>
      </c>
      <c r="I173" s="46">
        <f>C173+H173</f>
        <v>183</v>
      </c>
      <c r="J173" s="226"/>
      <c r="K173" s="227"/>
      <c r="L173" s="98">
        <v>132</v>
      </c>
      <c r="M173" s="50">
        <f>C173+L173</f>
        <v>192</v>
      </c>
      <c r="N173" s="226"/>
      <c r="O173" s="227"/>
      <c r="P173" s="98">
        <v>113</v>
      </c>
      <c r="Q173" s="50">
        <f>P173+C173</f>
        <v>173</v>
      </c>
      <c r="R173" s="226"/>
      <c r="S173" s="227"/>
      <c r="T173" s="98">
        <v>115</v>
      </c>
      <c r="U173" s="50">
        <f>T173+C173</f>
        <v>175</v>
      </c>
      <c r="V173" s="226"/>
      <c r="W173" s="227"/>
      <c r="X173" s="106">
        <f>D173+H173+L173+P173+T173</f>
        <v>636</v>
      </c>
      <c r="Y173" s="46">
        <f t="shared" si="10"/>
        <v>936</v>
      </c>
      <c r="Z173" s="73">
        <f t="shared" si="11"/>
        <v>636</v>
      </c>
      <c r="AA173" s="67">
        <f>AVERAGE(E173,I173,M173,Q173,U173)</f>
        <v>187.2</v>
      </c>
      <c r="AB173" s="67">
        <f>AVERAGE(E173,I173,M173,Q173,U173)-C173</f>
        <v>127.19999999999999</v>
      </c>
      <c r="AC173" s="220"/>
    </row>
    <row r="174" spans="1:30" s="38" customFormat="1" ht="15.75" customHeight="1" thickBot="1">
      <c r="A174" s="229" t="s">
        <v>91</v>
      </c>
      <c r="B174" s="230"/>
      <c r="C174" s="160">
        <v>23</v>
      </c>
      <c r="D174" s="60">
        <v>156</v>
      </c>
      <c r="E174" s="50">
        <f>C174+D174</f>
        <v>179</v>
      </c>
      <c r="F174" s="204"/>
      <c r="G174" s="228"/>
      <c r="H174" s="99">
        <v>149</v>
      </c>
      <c r="I174" s="46">
        <f>C174+H174</f>
        <v>172</v>
      </c>
      <c r="J174" s="204"/>
      <c r="K174" s="228"/>
      <c r="L174" s="99">
        <v>167</v>
      </c>
      <c r="M174" s="50">
        <f>C174+L174</f>
        <v>190</v>
      </c>
      <c r="N174" s="204"/>
      <c r="O174" s="228"/>
      <c r="P174" s="99">
        <v>131</v>
      </c>
      <c r="Q174" s="50">
        <f>P174+C174</f>
        <v>154</v>
      </c>
      <c r="R174" s="204"/>
      <c r="S174" s="228"/>
      <c r="T174" s="99">
        <v>188</v>
      </c>
      <c r="U174" s="50">
        <f>T174+C174</f>
        <v>211</v>
      </c>
      <c r="V174" s="204"/>
      <c r="W174" s="228"/>
      <c r="X174" s="107">
        <f>D174+H174+L174+P174+T174</f>
        <v>791</v>
      </c>
      <c r="Y174" s="47">
        <f t="shared" si="10"/>
        <v>906</v>
      </c>
      <c r="Z174" s="74">
        <f t="shared" si="11"/>
        <v>791</v>
      </c>
      <c r="AA174" s="68">
        <f>AVERAGE(E174,I174,M174,Q174,U174)</f>
        <v>181.2</v>
      </c>
      <c r="AB174" s="68">
        <f>AVERAGE(E174,I174,M174,Q174,U174)-C174</f>
        <v>158.2</v>
      </c>
      <c r="AC174" s="221"/>
      <c r="AD174" s="44"/>
    </row>
    <row r="175" spans="1:29" s="38" customFormat="1" ht="40.5" customHeight="1">
      <c r="A175" s="234" t="s">
        <v>80</v>
      </c>
      <c r="B175" s="235"/>
      <c r="C175" s="158">
        <f>SUM(C176:C178)</f>
        <v>168</v>
      </c>
      <c r="D175" s="62"/>
      <c r="E175" s="45">
        <f>SUM(E176:E178)</f>
        <v>505</v>
      </c>
      <c r="F175" s="45">
        <f>E163</f>
        <v>574</v>
      </c>
      <c r="G175" s="42" t="str">
        <f>A163</f>
        <v>Vest-Wood 3</v>
      </c>
      <c r="H175" s="100"/>
      <c r="I175" s="45">
        <f>SUM(I176:I178)</f>
        <v>543</v>
      </c>
      <c r="J175" s="45">
        <f>I159</f>
        <v>610</v>
      </c>
      <c r="K175" s="42" t="str">
        <f>A159</f>
        <v>KLG VIRU</v>
      </c>
      <c r="L175" s="103"/>
      <c r="M175" s="69">
        <f>SUM(M176:M178)</f>
        <v>561</v>
      </c>
      <c r="N175" s="45">
        <f>M179</f>
        <v>594</v>
      </c>
      <c r="O175" s="42" t="str">
        <f>A179</f>
        <v>Meistrid&amp; Margarita</v>
      </c>
      <c r="P175" s="103"/>
      <c r="Q175" s="69">
        <f>SUM(Q176:Q178)</f>
        <v>541</v>
      </c>
      <c r="R175" s="45">
        <f>Q171</f>
        <v>481</v>
      </c>
      <c r="S175" s="42" t="str">
        <f>A171</f>
        <v>SADO</v>
      </c>
      <c r="T175" s="103"/>
      <c r="U175" s="69">
        <f>SUM(U176:U178)</f>
        <v>476</v>
      </c>
      <c r="V175" s="45">
        <f>U167</f>
        <v>534</v>
      </c>
      <c r="W175" s="42" t="str">
        <f>A167</f>
        <v>LATER</v>
      </c>
      <c r="X175" s="105">
        <f>Y175-5*C175</f>
        <v>1786</v>
      </c>
      <c r="Y175" s="36">
        <f t="shared" si="10"/>
        <v>2626</v>
      </c>
      <c r="Z175" s="75">
        <f t="shared" si="11"/>
        <v>1786</v>
      </c>
      <c r="AA175" s="37">
        <f>AVERAGE(AA176,AA177,AA178)</f>
        <v>175.0666666666667</v>
      </c>
      <c r="AB175" s="37">
        <f>AVERAGE(AB176,AB177,AB178)</f>
        <v>119.06666666666668</v>
      </c>
      <c r="AC175" s="219">
        <f>F176+J176+N176+R176+V176</f>
        <v>1</v>
      </c>
    </row>
    <row r="176" spans="1:29" s="38" customFormat="1" ht="15.75" customHeight="1">
      <c r="A176" s="222" t="s">
        <v>95</v>
      </c>
      <c r="B176" s="223"/>
      <c r="C176" s="159">
        <v>60</v>
      </c>
      <c r="D176" s="59">
        <v>125</v>
      </c>
      <c r="E176" s="50">
        <f>C176+D176</f>
        <v>185</v>
      </c>
      <c r="F176" s="224">
        <v>0</v>
      </c>
      <c r="G176" s="225"/>
      <c r="H176" s="97">
        <v>144</v>
      </c>
      <c r="I176" s="46">
        <f>C176+H176</f>
        <v>204</v>
      </c>
      <c r="J176" s="224">
        <v>0</v>
      </c>
      <c r="K176" s="225"/>
      <c r="L176" s="97">
        <v>144</v>
      </c>
      <c r="M176" s="50">
        <f>C176+L176</f>
        <v>204</v>
      </c>
      <c r="N176" s="224">
        <v>0</v>
      </c>
      <c r="O176" s="225"/>
      <c r="P176" s="97">
        <v>120</v>
      </c>
      <c r="Q176" s="50">
        <f>P176+C176</f>
        <v>180</v>
      </c>
      <c r="R176" s="224">
        <v>1</v>
      </c>
      <c r="S176" s="225"/>
      <c r="T176" s="97">
        <v>112</v>
      </c>
      <c r="U176" s="50">
        <f>T176+C176</f>
        <v>172</v>
      </c>
      <c r="V176" s="224">
        <v>0</v>
      </c>
      <c r="W176" s="225"/>
      <c r="X176" s="106">
        <f>D176+H176+L176+P176+T176</f>
        <v>645</v>
      </c>
      <c r="Y176" s="46">
        <f t="shared" si="10"/>
        <v>945</v>
      </c>
      <c r="Z176" s="73">
        <f t="shared" si="11"/>
        <v>645</v>
      </c>
      <c r="AA176" s="67">
        <f>AVERAGE(E176,I176,M176,Q176,U176)</f>
        <v>189</v>
      </c>
      <c r="AB176" s="67">
        <f>AVERAGE(E176,I176,M176,Q176,U176)-C176</f>
        <v>129</v>
      </c>
      <c r="AC176" s="220"/>
    </row>
    <row r="177" spans="1:29" s="38" customFormat="1" ht="15.75" customHeight="1">
      <c r="A177" s="222" t="s">
        <v>96</v>
      </c>
      <c r="B177" s="223"/>
      <c r="C177" s="159">
        <v>60</v>
      </c>
      <c r="D177" s="59">
        <v>97</v>
      </c>
      <c r="E177" s="50">
        <f>C177+D177</f>
        <v>157</v>
      </c>
      <c r="F177" s="226"/>
      <c r="G177" s="227"/>
      <c r="H177" s="98">
        <v>104</v>
      </c>
      <c r="I177" s="46">
        <f>C177+H177</f>
        <v>164</v>
      </c>
      <c r="J177" s="226"/>
      <c r="K177" s="227"/>
      <c r="L177" s="98">
        <v>134</v>
      </c>
      <c r="M177" s="50">
        <f>C177+L177</f>
        <v>194</v>
      </c>
      <c r="N177" s="226"/>
      <c r="O177" s="227"/>
      <c r="P177" s="98">
        <v>128</v>
      </c>
      <c r="Q177" s="50">
        <f>P177+C177</f>
        <v>188</v>
      </c>
      <c r="R177" s="226"/>
      <c r="S177" s="227"/>
      <c r="T177" s="98">
        <v>84</v>
      </c>
      <c r="U177" s="50">
        <f>T177+C177</f>
        <v>144</v>
      </c>
      <c r="V177" s="226"/>
      <c r="W177" s="227"/>
      <c r="X177" s="106">
        <f>D177+H177+L177+P177+T177</f>
        <v>547</v>
      </c>
      <c r="Y177" s="46">
        <f t="shared" si="10"/>
        <v>847</v>
      </c>
      <c r="Z177" s="73">
        <f t="shared" si="11"/>
        <v>547</v>
      </c>
      <c r="AA177" s="67">
        <f>AVERAGE(E177,I177,M177,Q177,U177)</f>
        <v>169.4</v>
      </c>
      <c r="AB177" s="67">
        <f>AVERAGE(E177,I177,M177,Q177,U177)-C177</f>
        <v>109.4</v>
      </c>
      <c r="AC177" s="220"/>
    </row>
    <row r="178" spans="1:29" s="38" customFormat="1" ht="15.75" customHeight="1" thickBot="1">
      <c r="A178" s="229" t="s">
        <v>97</v>
      </c>
      <c r="B178" s="230"/>
      <c r="C178" s="160">
        <v>48</v>
      </c>
      <c r="D178" s="60">
        <v>115</v>
      </c>
      <c r="E178" s="50">
        <f>C178+D178</f>
        <v>163</v>
      </c>
      <c r="F178" s="204"/>
      <c r="G178" s="228"/>
      <c r="H178" s="99">
        <v>127</v>
      </c>
      <c r="I178" s="46">
        <f>C178+H178</f>
        <v>175</v>
      </c>
      <c r="J178" s="204"/>
      <c r="K178" s="228"/>
      <c r="L178" s="99">
        <v>115</v>
      </c>
      <c r="M178" s="50">
        <f>C178+L178</f>
        <v>163</v>
      </c>
      <c r="N178" s="204"/>
      <c r="O178" s="228"/>
      <c r="P178" s="99">
        <v>125</v>
      </c>
      <c r="Q178" s="50">
        <f>P178+C178</f>
        <v>173</v>
      </c>
      <c r="R178" s="204"/>
      <c r="S178" s="228"/>
      <c r="T178" s="99">
        <v>112</v>
      </c>
      <c r="U178" s="50">
        <f>T178+C178</f>
        <v>160</v>
      </c>
      <c r="V178" s="204"/>
      <c r="W178" s="228"/>
      <c r="X178" s="107">
        <f>D178+H178+L178+P178+T178</f>
        <v>594</v>
      </c>
      <c r="Y178" s="47">
        <f t="shared" si="10"/>
        <v>834</v>
      </c>
      <c r="Z178" s="74">
        <f t="shared" si="11"/>
        <v>594</v>
      </c>
      <c r="AA178" s="68">
        <f>AVERAGE(E178,I178,M178,Q178,U178)</f>
        <v>166.8</v>
      </c>
      <c r="AB178" s="68">
        <f>AVERAGE(E178,I178,M178,Q178,U178)-C178</f>
        <v>118.80000000000001</v>
      </c>
      <c r="AC178" s="221"/>
    </row>
    <row r="179" spans="1:29" s="38" customFormat="1" ht="42" customHeight="1">
      <c r="A179" s="217" t="s">
        <v>79</v>
      </c>
      <c r="B179" s="218"/>
      <c r="C179" s="158">
        <f>SUM(C180:C182)</f>
        <v>75</v>
      </c>
      <c r="D179" s="62"/>
      <c r="E179" s="45">
        <f>SUM(E180:E182)</f>
        <v>514</v>
      </c>
      <c r="F179" s="45">
        <f>E159</f>
        <v>518</v>
      </c>
      <c r="G179" s="42" t="str">
        <f>A159</f>
        <v>KLG VIRU</v>
      </c>
      <c r="H179" s="100"/>
      <c r="I179" s="45">
        <f>SUM(I180:I182)</f>
        <v>607</v>
      </c>
      <c r="J179" s="45">
        <f>I167</f>
        <v>528</v>
      </c>
      <c r="K179" s="42" t="str">
        <f>A167</f>
        <v>LATER</v>
      </c>
      <c r="L179" s="102"/>
      <c r="M179" s="49">
        <f>SUM(M180:M182)</f>
        <v>594</v>
      </c>
      <c r="N179" s="45">
        <f>M175</f>
        <v>561</v>
      </c>
      <c r="O179" s="42" t="str">
        <f>A175</f>
        <v>Planray</v>
      </c>
      <c r="P179" s="102"/>
      <c r="Q179" s="49">
        <f>SUM(Q180:Q182)</f>
        <v>626</v>
      </c>
      <c r="R179" s="45">
        <f>Q163</f>
        <v>562</v>
      </c>
      <c r="S179" s="42" t="str">
        <f>A163</f>
        <v>Vest-Wood 3</v>
      </c>
      <c r="T179" s="102"/>
      <c r="U179" s="49">
        <f>SUM(U180:U182)</f>
        <v>584</v>
      </c>
      <c r="V179" s="45">
        <f>U171</f>
        <v>544</v>
      </c>
      <c r="W179" s="42" t="str">
        <f>A171</f>
        <v>SADO</v>
      </c>
      <c r="X179" s="105">
        <f>Y179-5*C179</f>
        <v>2550</v>
      </c>
      <c r="Y179" s="36">
        <f t="shared" si="10"/>
        <v>2925</v>
      </c>
      <c r="Z179" s="75">
        <f t="shared" si="11"/>
        <v>2550</v>
      </c>
      <c r="AA179" s="37">
        <f>AVERAGE(AA180,AA181,AA182)</f>
        <v>195</v>
      </c>
      <c r="AB179" s="37">
        <f>AVERAGE(AB180,AB181,AB182)</f>
        <v>170</v>
      </c>
      <c r="AC179" s="219">
        <f>F180+J180+N180+R180+V180</f>
        <v>4</v>
      </c>
    </row>
    <row r="180" spans="1:29" s="38" customFormat="1" ht="15.75" customHeight="1">
      <c r="A180" s="222" t="s">
        <v>87</v>
      </c>
      <c r="B180" s="223"/>
      <c r="C180" s="159">
        <v>24</v>
      </c>
      <c r="D180" s="59">
        <v>144</v>
      </c>
      <c r="E180" s="50">
        <f>C180+D180</f>
        <v>168</v>
      </c>
      <c r="F180" s="224">
        <v>0</v>
      </c>
      <c r="G180" s="225"/>
      <c r="H180" s="97">
        <v>205</v>
      </c>
      <c r="I180" s="46">
        <f>C180+H180</f>
        <v>229</v>
      </c>
      <c r="J180" s="224">
        <v>1</v>
      </c>
      <c r="K180" s="225"/>
      <c r="L180" s="97">
        <v>171</v>
      </c>
      <c r="M180" s="50">
        <f>C180+L180</f>
        <v>195</v>
      </c>
      <c r="N180" s="224">
        <v>1</v>
      </c>
      <c r="O180" s="225"/>
      <c r="P180" s="97">
        <v>147</v>
      </c>
      <c r="Q180" s="50">
        <f>P180+C180</f>
        <v>171</v>
      </c>
      <c r="R180" s="224">
        <v>1</v>
      </c>
      <c r="S180" s="225"/>
      <c r="T180" s="97">
        <v>142</v>
      </c>
      <c r="U180" s="50">
        <f>T180+C180</f>
        <v>166</v>
      </c>
      <c r="V180" s="224">
        <v>1</v>
      </c>
      <c r="W180" s="225"/>
      <c r="X180" s="106">
        <f>D180+H180+L180+P180+T180</f>
        <v>809</v>
      </c>
      <c r="Y180" s="46">
        <f t="shared" si="10"/>
        <v>929</v>
      </c>
      <c r="Z180" s="73">
        <f t="shared" si="11"/>
        <v>809</v>
      </c>
      <c r="AA180" s="67">
        <f>AVERAGE(E180,I180,M180,Q180,U180)</f>
        <v>185.8</v>
      </c>
      <c r="AB180" s="67">
        <f>AVERAGE(E180,I180,M180,Q180,U180)-C180</f>
        <v>161.8</v>
      </c>
      <c r="AC180" s="220"/>
    </row>
    <row r="181" spans="1:29" s="38" customFormat="1" ht="15.75" customHeight="1">
      <c r="A181" s="222" t="s">
        <v>88</v>
      </c>
      <c r="B181" s="223"/>
      <c r="C181" s="159">
        <v>25</v>
      </c>
      <c r="D181" s="59">
        <v>125</v>
      </c>
      <c r="E181" s="50">
        <f>C181+D181</f>
        <v>150</v>
      </c>
      <c r="F181" s="226"/>
      <c r="G181" s="227"/>
      <c r="H181" s="98">
        <v>170</v>
      </c>
      <c r="I181" s="46">
        <f>C181+H181</f>
        <v>195</v>
      </c>
      <c r="J181" s="226"/>
      <c r="K181" s="227"/>
      <c r="L181" s="98">
        <v>168</v>
      </c>
      <c r="M181" s="50">
        <f>C181+L181</f>
        <v>193</v>
      </c>
      <c r="N181" s="226"/>
      <c r="O181" s="227"/>
      <c r="P181" s="98">
        <v>212</v>
      </c>
      <c r="Q181" s="50">
        <f>P181+C181</f>
        <v>237</v>
      </c>
      <c r="R181" s="226"/>
      <c r="S181" s="227"/>
      <c r="T181" s="98">
        <v>174</v>
      </c>
      <c r="U181" s="50">
        <f>T181+C181</f>
        <v>199</v>
      </c>
      <c r="V181" s="226"/>
      <c r="W181" s="227"/>
      <c r="X181" s="106">
        <f>D181+H181+L181+P181+T181</f>
        <v>849</v>
      </c>
      <c r="Y181" s="46">
        <f t="shared" si="10"/>
        <v>974</v>
      </c>
      <c r="Z181" s="73">
        <f t="shared" si="11"/>
        <v>849</v>
      </c>
      <c r="AA181" s="67">
        <f>AVERAGE(E181,I181,M181,Q181,U181)</f>
        <v>194.8</v>
      </c>
      <c r="AB181" s="67">
        <f>AVERAGE(E181,I181,M181,Q181,U181)-C181</f>
        <v>169.8</v>
      </c>
      <c r="AC181" s="220"/>
    </row>
    <row r="182" spans="1:29" s="38" customFormat="1" ht="15.75" customHeight="1" thickBot="1">
      <c r="A182" s="229" t="s">
        <v>89</v>
      </c>
      <c r="B182" s="230"/>
      <c r="C182" s="160">
        <v>26</v>
      </c>
      <c r="D182" s="60">
        <v>170</v>
      </c>
      <c r="E182" s="47">
        <f>C182+D182</f>
        <v>196</v>
      </c>
      <c r="F182" s="204"/>
      <c r="G182" s="228"/>
      <c r="H182" s="99">
        <v>157</v>
      </c>
      <c r="I182" s="47">
        <f>C182+H182</f>
        <v>183</v>
      </c>
      <c r="J182" s="204"/>
      <c r="K182" s="228"/>
      <c r="L182" s="99">
        <v>180</v>
      </c>
      <c r="M182" s="47">
        <f>C182+L182</f>
        <v>206</v>
      </c>
      <c r="N182" s="204"/>
      <c r="O182" s="228"/>
      <c r="P182" s="99">
        <v>192</v>
      </c>
      <c r="Q182" s="47">
        <f>P182+C182</f>
        <v>218</v>
      </c>
      <c r="R182" s="204"/>
      <c r="S182" s="228"/>
      <c r="T182" s="99">
        <v>193</v>
      </c>
      <c r="U182" s="47">
        <f>T182+C182</f>
        <v>219</v>
      </c>
      <c r="V182" s="204"/>
      <c r="W182" s="228"/>
      <c r="X182" s="107">
        <f>D182+H182+L182+P182+T182</f>
        <v>892</v>
      </c>
      <c r="Y182" s="47">
        <f t="shared" si="10"/>
        <v>1022</v>
      </c>
      <c r="Z182" s="74">
        <f t="shared" si="11"/>
        <v>892</v>
      </c>
      <c r="AA182" s="68">
        <f>AVERAGE(E182,I182,M182,Q182,U182)</f>
        <v>204.4</v>
      </c>
      <c r="AB182" s="68">
        <f>AVERAGE(E182,I182,M182,Q182,U182)-C182</f>
        <v>178.4</v>
      </c>
      <c r="AC182" s="221"/>
    </row>
    <row r="184" spans="1:29" s="40" customFormat="1" ht="8.25" customHeight="1">
      <c r="A184" s="233" t="s">
        <v>35</v>
      </c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4"/>
      <c r="W184" s="25"/>
      <c r="X184" s="57"/>
      <c r="Z184" s="70"/>
      <c r="AA184" s="41"/>
      <c r="AB184" s="121"/>
      <c r="AC184" s="25"/>
    </row>
    <row r="185" spans="1:29" s="40" customFormat="1" ht="23.2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4"/>
      <c r="W185" s="25"/>
      <c r="X185" s="57"/>
      <c r="Z185" s="70"/>
      <c r="AA185" s="41"/>
      <c r="AB185" s="121"/>
      <c r="AC185" s="25"/>
    </row>
    <row r="186" spans="1:29" s="40" customFormat="1" ht="21.75" customHeight="1">
      <c r="A186" s="26"/>
      <c r="B186" s="26"/>
      <c r="C186" s="162"/>
      <c r="D186" s="54"/>
      <c r="E186" s="25"/>
      <c r="F186" s="25"/>
      <c r="G186" s="25"/>
      <c r="H186" s="57"/>
      <c r="I186" s="25"/>
      <c r="J186" s="25"/>
      <c r="K186" s="25"/>
      <c r="L186" s="57"/>
      <c r="M186" s="25"/>
      <c r="N186" s="25"/>
      <c r="O186" s="25"/>
      <c r="P186" s="57"/>
      <c r="Q186" s="25"/>
      <c r="R186" s="25"/>
      <c r="S186" s="25"/>
      <c r="T186" s="57"/>
      <c r="U186" s="25"/>
      <c r="V186" s="25"/>
      <c r="W186" s="25"/>
      <c r="X186" s="57"/>
      <c r="Z186" s="70"/>
      <c r="AA186" s="41"/>
      <c r="AB186" s="121"/>
      <c r="AC186" s="25"/>
    </row>
    <row r="187" spans="1:29" s="31" customFormat="1" ht="15.75" customHeight="1">
      <c r="A187" s="209" t="s">
        <v>0</v>
      </c>
      <c r="B187" s="210"/>
      <c r="C187" s="156" t="s">
        <v>39</v>
      </c>
      <c r="D187" s="55"/>
      <c r="E187" s="27" t="s">
        <v>1</v>
      </c>
      <c r="F187" s="211" t="s">
        <v>2</v>
      </c>
      <c r="G187" s="212"/>
      <c r="H187" s="94"/>
      <c r="I187" s="27" t="s">
        <v>3</v>
      </c>
      <c r="J187" s="211" t="s">
        <v>2</v>
      </c>
      <c r="K187" s="212"/>
      <c r="L187" s="94"/>
      <c r="M187" s="27" t="s">
        <v>4</v>
      </c>
      <c r="N187" s="211" t="s">
        <v>2</v>
      </c>
      <c r="O187" s="212"/>
      <c r="P187" s="94"/>
      <c r="Q187" s="27" t="s">
        <v>5</v>
      </c>
      <c r="R187" s="211" t="s">
        <v>2</v>
      </c>
      <c r="S187" s="212"/>
      <c r="T187" s="94"/>
      <c r="U187" s="27" t="s">
        <v>6</v>
      </c>
      <c r="V187" s="211" t="s">
        <v>2</v>
      </c>
      <c r="W187" s="212"/>
      <c r="X187" s="104"/>
      <c r="Y187" s="28" t="s">
        <v>7</v>
      </c>
      <c r="Z187" s="71"/>
      <c r="AA187" s="29" t="s">
        <v>40</v>
      </c>
      <c r="AB187" s="52" t="s">
        <v>42</v>
      </c>
      <c r="AC187" s="30" t="s">
        <v>7</v>
      </c>
    </row>
    <row r="188" spans="1:29" s="31" customFormat="1" ht="15.75" customHeight="1" thickBot="1">
      <c r="A188" s="213" t="s">
        <v>9</v>
      </c>
      <c r="B188" s="214"/>
      <c r="C188" s="157"/>
      <c r="D188" s="56"/>
      <c r="E188" s="32" t="s">
        <v>10</v>
      </c>
      <c r="F188" s="211" t="s">
        <v>11</v>
      </c>
      <c r="G188" s="212"/>
      <c r="H188" s="95"/>
      <c r="I188" s="32" t="s">
        <v>10</v>
      </c>
      <c r="J188" s="215" t="s">
        <v>11</v>
      </c>
      <c r="K188" s="216"/>
      <c r="L188" s="95"/>
      <c r="M188" s="32" t="s">
        <v>10</v>
      </c>
      <c r="N188" s="215" t="s">
        <v>11</v>
      </c>
      <c r="O188" s="216"/>
      <c r="P188" s="95"/>
      <c r="Q188" s="32" t="s">
        <v>10</v>
      </c>
      <c r="R188" s="215" t="s">
        <v>11</v>
      </c>
      <c r="S188" s="216"/>
      <c r="T188" s="95"/>
      <c r="U188" s="32" t="s">
        <v>10</v>
      </c>
      <c r="V188" s="215" t="s">
        <v>11</v>
      </c>
      <c r="W188" s="216"/>
      <c r="X188" s="84"/>
      <c r="Y188" s="33" t="s">
        <v>10</v>
      </c>
      <c r="Z188" s="72"/>
      <c r="AA188" s="34" t="s">
        <v>41</v>
      </c>
      <c r="AB188" s="53" t="s">
        <v>43</v>
      </c>
      <c r="AC188" s="35" t="s">
        <v>12</v>
      </c>
    </row>
    <row r="189" spans="1:29" s="38" customFormat="1" ht="36" customHeight="1">
      <c r="A189" s="217" t="s">
        <v>13</v>
      </c>
      <c r="B189" s="218"/>
      <c r="C189" s="158">
        <f>SUM(C190:C192)</f>
        <v>160</v>
      </c>
      <c r="D189" s="62"/>
      <c r="E189" s="63">
        <f>SUM(E190:E192)</f>
        <v>486</v>
      </c>
      <c r="F189" s="46">
        <f>E209</f>
        <v>565</v>
      </c>
      <c r="G189" s="64" t="str">
        <f>A209</f>
        <v>FULL-TRADE</v>
      </c>
      <c r="H189" s="96"/>
      <c r="I189" s="49">
        <f>SUM(I190:I192)</f>
        <v>538</v>
      </c>
      <c r="J189" s="49">
        <f>I205</f>
        <v>520</v>
      </c>
      <c r="K189" s="42" t="str">
        <f>A205</f>
        <v>FEB</v>
      </c>
      <c r="L189" s="100"/>
      <c r="M189" s="45">
        <f>SUM(M190:M192)</f>
        <v>541</v>
      </c>
      <c r="N189" s="45">
        <f>M201</f>
        <v>458</v>
      </c>
      <c r="O189" s="42" t="str">
        <f>A201</f>
        <v>VEST-WOOD 2</v>
      </c>
      <c r="P189" s="100"/>
      <c r="Q189" s="45">
        <f>SUM(Q190:Q192)</f>
        <v>514</v>
      </c>
      <c r="R189" s="45">
        <f>Q197</f>
        <v>560</v>
      </c>
      <c r="S189" s="42" t="str">
        <f>A197</f>
        <v>LAJOS 1</v>
      </c>
      <c r="T189" s="100"/>
      <c r="U189" s="45">
        <f>SUM(U190:U192)</f>
        <v>563</v>
      </c>
      <c r="V189" s="45">
        <f>U193</f>
        <v>611</v>
      </c>
      <c r="W189" s="42" t="str">
        <f>A193</f>
        <v>LATESTOIL</v>
      </c>
      <c r="X189" s="108"/>
      <c r="Y189" s="36">
        <f aca="true" t="shared" si="12" ref="Y189:Y212">E189+I189+M189+Q189+U189</f>
        <v>2642</v>
      </c>
      <c r="Z189" s="73">
        <f aca="true" t="shared" si="13" ref="Z189:Z212">Y189-5*C189</f>
        <v>1842</v>
      </c>
      <c r="AA189" s="37">
        <f>AVERAGE(AA190,AA191,AA192)</f>
        <v>176.13333333333333</v>
      </c>
      <c r="AB189" s="65">
        <f>AVERAGE(AB190,AB191,AB192)</f>
        <v>122.8</v>
      </c>
      <c r="AC189" s="219">
        <f>F190+J190+N190+R190+V190</f>
        <v>2</v>
      </c>
    </row>
    <row r="190" spans="1:29" s="38" customFormat="1" ht="15.75">
      <c r="A190" s="222" t="s">
        <v>56</v>
      </c>
      <c r="B190" s="223"/>
      <c r="C190" s="159">
        <v>49</v>
      </c>
      <c r="D190" s="59"/>
      <c r="E190" s="50">
        <f>49+115</f>
        <v>164</v>
      </c>
      <c r="F190" s="224">
        <v>0</v>
      </c>
      <c r="G190" s="225"/>
      <c r="H190" s="97"/>
      <c r="I190" s="46">
        <f>49+166</f>
        <v>215</v>
      </c>
      <c r="J190" s="224">
        <v>1</v>
      </c>
      <c r="K190" s="225"/>
      <c r="L190" s="97"/>
      <c r="M190" s="50">
        <f>49+165</f>
        <v>214</v>
      </c>
      <c r="N190" s="224">
        <v>1</v>
      </c>
      <c r="O190" s="225"/>
      <c r="P190" s="97"/>
      <c r="Q190" s="50">
        <f>49+125</f>
        <v>174</v>
      </c>
      <c r="R190" s="224">
        <v>0</v>
      </c>
      <c r="S190" s="225"/>
      <c r="T190" s="97"/>
      <c r="U190" s="50">
        <f>49+119</f>
        <v>168</v>
      </c>
      <c r="V190" s="224">
        <v>0</v>
      </c>
      <c r="W190" s="225"/>
      <c r="X190" s="110"/>
      <c r="Y190" s="46">
        <f t="shared" si="12"/>
        <v>935</v>
      </c>
      <c r="Z190" s="73">
        <f t="shared" si="13"/>
        <v>690</v>
      </c>
      <c r="AA190" s="67">
        <f>AVERAGE(E190,I190,M190,Q190,U190)</f>
        <v>187</v>
      </c>
      <c r="AB190" s="67">
        <f>AVERAGE(E190,I190,M190,Q190,U190)-C190</f>
        <v>138</v>
      </c>
      <c r="AC190" s="220"/>
    </row>
    <row r="191" spans="1:29" s="38" customFormat="1" ht="15.75">
      <c r="A191" s="222" t="s">
        <v>57</v>
      </c>
      <c r="B191" s="223"/>
      <c r="C191" s="159">
        <v>60</v>
      </c>
      <c r="D191" s="59"/>
      <c r="E191" s="50">
        <f>60+111</f>
        <v>171</v>
      </c>
      <c r="F191" s="226"/>
      <c r="G191" s="227"/>
      <c r="H191" s="98"/>
      <c r="I191" s="46">
        <f>60+100</f>
        <v>160</v>
      </c>
      <c r="J191" s="226"/>
      <c r="K191" s="227"/>
      <c r="L191" s="98"/>
      <c r="M191" s="50">
        <f>60+102</f>
        <v>162</v>
      </c>
      <c r="N191" s="226"/>
      <c r="O191" s="227"/>
      <c r="P191" s="98"/>
      <c r="Q191" s="50">
        <f>60+104</f>
        <v>164</v>
      </c>
      <c r="R191" s="226"/>
      <c r="S191" s="227"/>
      <c r="T191" s="98"/>
      <c r="U191" s="50">
        <f>60+135</f>
        <v>195</v>
      </c>
      <c r="V191" s="226"/>
      <c r="W191" s="227"/>
      <c r="X191" s="111"/>
      <c r="Y191" s="46">
        <f t="shared" si="12"/>
        <v>852</v>
      </c>
      <c r="Z191" s="73">
        <f t="shared" si="13"/>
        <v>552</v>
      </c>
      <c r="AA191" s="67">
        <f>AVERAGE(E191,I191,M191,Q191,U191)</f>
        <v>170.4</v>
      </c>
      <c r="AB191" s="67">
        <f>AVERAGE(E191,I191,M191,Q191,U191)-C191</f>
        <v>110.4</v>
      </c>
      <c r="AC191" s="220"/>
    </row>
    <row r="192" spans="1:29" s="38" customFormat="1" ht="16.5" thickBot="1">
      <c r="A192" s="229" t="s">
        <v>58</v>
      </c>
      <c r="B192" s="230"/>
      <c r="C192" s="160">
        <v>51</v>
      </c>
      <c r="D192" s="60"/>
      <c r="E192" s="51">
        <f>51+100</f>
        <v>151</v>
      </c>
      <c r="F192" s="204"/>
      <c r="G192" s="228"/>
      <c r="H192" s="99"/>
      <c r="I192" s="47">
        <f>51+112</f>
        <v>163</v>
      </c>
      <c r="J192" s="204"/>
      <c r="K192" s="228"/>
      <c r="L192" s="99"/>
      <c r="M192" s="51">
        <f>51+114</f>
        <v>165</v>
      </c>
      <c r="N192" s="204"/>
      <c r="O192" s="228"/>
      <c r="P192" s="99"/>
      <c r="Q192" s="51">
        <f>51+125</f>
        <v>176</v>
      </c>
      <c r="R192" s="204"/>
      <c r="S192" s="228"/>
      <c r="T192" s="99"/>
      <c r="U192" s="51">
        <f>51+149</f>
        <v>200</v>
      </c>
      <c r="V192" s="204"/>
      <c r="W192" s="228"/>
      <c r="X192" s="112"/>
      <c r="Y192" s="47">
        <f t="shared" si="12"/>
        <v>855</v>
      </c>
      <c r="Z192" s="74">
        <f t="shared" si="13"/>
        <v>600</v>
      </c>
      <c r="AA192" s="68">
        <f>AVERAGE(E192,I192,M192,Q192,U192)</f>
        <v>171</v>
      </c>
      <c r="AB192" s="68">
        <f>AVERAGE(E192,I192,M192,Q192,U192)-C192</f>
        <v>120</v>
      </c>
      <c r="AC192" s="221"/>
    </row>
    <row r="193" spans="1:29" s="38" customFormat="1" ht="38.25" customHeight="1">
      <c r="A193" s="234" t="s">
        <v>36</v>
      </c>
      <c r="B193" s="235"/>
      <c r="C193" s="163">
        <f>SUM(C194:C196)</f>
        <v>61</v>
      </c>
      <c r="D193" s="58"/>
      <c r="E193" s="45">
        <f>SUM(E194:E196)</f>
        <v>573</v>
      </c>
      <c r="F193" s="45">
        <f>E205</f>
        <v>519</v>
      </c>
      <c r="G193" s="42" t="str">
        <f>A205</f>
        <v>FEB</v>
      </c>
      <c r="H193" s="100"/>
      <c r="I193" s="45">
        <f>SUM(I194:I196)</f>
        <v>567</v>
      </c>
      <c r="J193" s="45">
        <f>I201</f>
        <v>559</v>
      </c>
      <c r="K193" s="42" t="str">
        <f>A201</f>
        <v>VEST-WOOD 2</v>
      </c>
      <c r="L193" s="102"/>
      <c r="M193" s="49">
        <f>SUM(M194:M196)</f>
        <v>561</v>
      </c>
      <c r="N193" s="45">
        <f>M197</f>
        <v>487</v>
      </c>
      <c r="O193" s="42" t="str">
        <f>A197</f>
        <v>LAJOS 1</v>
      </c>
      <c r="P193" s="102"/>
      <c r="Q193" s="49">
        <f>SUM(Q194:Q196)</f>
        <v>572</v>
      </c>
      <c r="R193" s="45">
        <f>Q209</f>
        <v>590</v>
      </c>
      <c r="S193" s="42" t="str">
        <f>A209</f>
        <v>FULL-TRADE</v>
      </c>
      <c r="T193" s="102"/>
      <c r="U193" s="49">
        <f>SUM(U194:U196)</f>
        <v>611</v>
      </c>
      <c r="V193" s="45">
        <f>U189</f>
        <v>563</v>
      </c>
      <c r="W193" s="42" t="str">
        <f>A189</f>
        <v>AKAT 2</v>
      </c>
      <c r="X193" s="108"/>
      <c r="Y193" s="36">
        <f t="shared" si="12"/>
        <v>2884</v>
      </c>
      <c r="Z193" s="75">
        <f t="shared" si="13"/>
        <v>2579</v>
      </c>
      <c r="AA193" s="37">
        <f>AVERAGE(AA194,AA195,AA196)</f>
        <v>192.26666666666665</v>
      </c>
      <c r="AB193" s="37">
        <f>AVERAGE(AB194,AB195,AB196)</f>
        <v>171.9333333333333</v>
      </c>
      <c r="AC193" s="220">
        <f>F194+J194+N194+R194+V194</f>
        <v>4</v>
      </c>
    </row>
    <row r="194" spans="1:29" s="38" customFormat="1" ht="15.75" customHeight="1">
      <c r="A194" s="222" t="s">
        <v>27</v>
      </c>
      <c r="B194" s="223"/>
      <c r="C194" s="159">
        <v>21</v>
      </c>
      <c r="D194" s="59"/>
      <c r="E194" s="50">
        <f>21+162</f>
        <v>183</v>
      </c>
      <c r="F194" s="224">
        <v>1</v>
      </c>
      <c r="G194" s="225"/>
      <c r="H194" s="97"/>
      <c r="I194" s="46">
        <f>21+172</f>
        <v>193</v>
      </c>
      <c r="J194" s="224">
        <v>1</v>
      </c>
      <c r="K194" s="225"/>
      <c r="L194" s="97"/>
      <c r="M194" s="50">
        <f>21+150</f>
        <v>171</v>
      </c>
      <c r="N194" s="224">
        <v>1</v>
      </c>
      <c r="O194" s="225"/>
      <c r="P194" s="97"/>
      <c r="Q194" s="50">
        <f>21+180</f>
        <v>201</v>
      </c>
      <c r="R194" s="224">
        <v>0</v>
      </c>
      <c r="S194" s="225"/>
      <c r="T194" s="97"/>
      <c r="U194" s="50">
        <f>21+159</f>
        <v>180</v>
      </c>
      <c r="V194" s="224">
        <v>1</v>
      </c>
      <c r="W194" s="225"/>
      <c r="X194" s="110"/>
      <c r="Y194" s="46">
        <f t="shared" si="12"/>
        <v>928</v>
      </c>
      <c r="Z194" s="73">
        <f t="shared" si="13"/>
        <v>823</v>
      </c>
      <c r="AA194" s="67">
        <f>AVERAGE(E194,I194,M194,Q194,U194)</f>
        <v>185.6</v>
      </c>
      <c r="AB194" s="67">
        <f>AVERAGE(E194,I194,M194,Q194,U194)-C194</f>
        <v>164.6</v>
      </c>
      <c r="AC194" s="220"/>
    </row>
    <row r="195" spans="1:29" s="38" customFormat="1" ht="15.75" customHeight="1">
      <c r="A195" s="222" t="s">
        <v>29</v>
      </c>
      <c r="B195" s="223"/>
      <c r="C195" s="159">
        <v>34</v>
      </c>
      <c r="D195" s="59"/>
      <c r="E195" s="50">
        <f>34+162</f>
        <v>196</v>
      </c>
      <c r="F195" s="226"/>
      <c r="G195" s="227"/>
      <c r="H195" s="98"/>
      <c r="I195" s="46">
        <f>34+180</f>
        <v>214</v>
      </c>
      <c r="J195" s="226"/>
      <c r="K195" s="227"/>
      <c r="L195" s="98"/>
      <c r="M195" s="50">
        <f>34+134</f>
        <v>168</v>
      </c>
      <c r="N195" s="226"/>
      <c r="O195" s="227"/>
      <c r="P195" s="98"/>
      <c r="Q195" s="50">
        <f>34+176</f>
        <v>210</v>
      </c>
      <c r="R195" s="226"/>
      <c r="S195" s="227"/>
      <c r="T195" s="98"/>
      <c r="U195" s="50">
        <f>34+180</f>
        <v>214</v>
      </c>
      <c r="V195" s="226"/>
      <c r="W195" s="227"/>
      <c r="X195" s="111"/>
      <c r="Y195" s="46">
        <f t="shared" si="12"/>
        <v>1002</v>
      </c>
      <c r="Z195" s="73">
        <f t="shared" si="13"/>
        <v>832</v>
      </c>
      <c r="AA195" s="67">
        <f>AVERAGE(E195,I195,M195,Q195,U195)</f>
        <v>200.4</v>
      </c>
      <c r="AB195" s="67">
        <f>AVERAGE(E195,I195,M195,Q195,U195)-C195</f>
        <v>166.4</v>
      </c>
      <c r="AC195" s="220"/>
    </row>
    <row r="196" spans="1:29" s="38" customFormat="1" ht="15.75" customHeight="1" thickBot="1">
      <c r="A196" s="229" t="s">
        <v>26</v>
      </c>
      <c r="B196" s="230"/>
      <c r="C196" s="160">
        <v>6</v>
      </c>
      <c r="D196" s="60"/>
      <c r="E196" s="51">
        <f>6+188</f>
        <v>194</v>
      </c>
      <c r="F196" s="204"/>
      <c r="G196" s="228"/>
      <c r="H196" s="99"/>
      <c r="I196" s="47">
        <f>6+154</f>
        <v>160</v>
      </c>
      <c r="J196" s="204"/>
      <c r="K196" s="228"/>
      <c r="L196" s="99"/>
      <c r="M196" s="51">
        <f>6+216</f>
        <v>222</v>
      </c>
      <c r="N196" s="204"/>
      <c r="O196" s="228"/>
      <c r="P196" s="99"/>
      <c r="Q196" s="51">
        <f>6+155</f>
        <v>161</v>
      </c>
      <c r="R196" s="204"/>
      <c r="S196" s="228"/>
      <c r="T196" s="99"/>
      <c r="U196" s="51">
        <f>6+211</f>
        <v>217</v>
      </c>
      <c r="V196" s="204"/>
      <c r="W196" s="228"/>
      <c r="X196" s="112"/>
      <c r="Y196" s="47">
        <f t="shared" si="12"/>
        <v>954</v>
      </c>
      <c r="Z196" s="74">
        <f t="shared" si="13"/>
        <v>924</v>
      </c>
      <c r="AA196" s="68">
        <f>AVERAGE(E196,I196,M196,Q196,U196)</f>
        <v>190.8</v>
      </c>
      <c r="AB196" s="68">
        <f>AVERAGE(E196,I196,M196,Q196,U196)-C196</f>
        <v>184.8</v>
      </c>
      <c r="AC196" s="221"/>
    </row>
    <row r="197" spans="1:29" s="38" customFormat="1" ht="41.25" customHeight="1">
      <c r="A197" s="234" t="s">
        <v>14</v>
      </c>
      <c r="B197" s="235"/>
      <c r="C197" s="158">
        <f>SUM(C198:C200)</f>
        <v>157</v>
      </c>
      <c r="D197" s="62"/>
      <c r="E197" s="45">
        <f>SUM(E198:E200)</f>
        <v>534</v>
      </c>
      <c r="F197" s="45">
        <f>E201</f>
        <v>531</v>
      </c>
      <c r="G197" s="42" t="str">
        <f>A201</f>
        <v>VEST-WOOD 2</v>
      </c>
      <c r="H197" s="100"/>
      <c r="I197" s="45">
        <f>SUM(I198:I200)</f>
        <v>525</v>
      </c>
      <c r="J197" s="45">
        <f>I209</f>
        <v>561</v>
      </c>
      <c r="K197" s="42" t="str">
        <f>A209</f>
        <v>FULL-TRADE</v>
      </c>
      <c r="L197" s="103"/>
      <c r="M197" s="69">
        <f>SUM(M198:M200)</f>
        <v>487</v>
      </c>
      <c r="N197" s="45">
        <f>M193</f>
        <v>561</v>
      </c>
      <c r="O197" s="42" t="str">
        <f>A193</f>
        <v>LATESTOIL</v>
      </c>
      <c r="P197" s="103"/>
      <c r="Q197" s="69">
        <f>SUM(Q198:Q200)</f>
        <v>560</v>
      </c>
      <c r="R197" s="45">
        <f>Q189</f>
        <v>514</v>
      </c>
      <c r="S197" s="42" t="str">
        <f>A189</f>
        <v>AKAT 2</v>
      </c>
      <c r="T197" s="103"/>
      <c r="U197" s="69">
        <f>SUM(U198:U200)</f>
        <v>440</v>
      </c>
      <c r="V197" s="45">
        <f>U205</f>
        <v>582</v>
      </c>
      <c r="W197" s="42" t="str">
        <f>A205</f>
        <v>FEB</v>
      </c>
      <c r="X197" s="108"/>
      <c r="Y197" s="36">
        <f t="shared" si="12"/>
        <v>2546</v>
      </c>
      <c r="Z197" s="75">
        <f t="shared" si="13"/>
        <v>1761</v>
      </c>
      <c r="AA197" s="37">
        <f>AVERAGE(AA198,AA199,AA200)</f>
        <v>169.73333333333332</v>
      </c>
      <c r="AB197" s="37">
        <f>AVERAGE(AB198,AB199,AB200)</f>
        <v>117.40000000000002</v>
      </c>
      <c r="AC197" s="219">
        <f>F198+J198+N198+R198+V198</f>
        <v>2</v>
      </c>
    </row>
    <row r="198" spans="1:29" s="38" customFormat="1" ht="15.75" customHeight="1">
      <c r="A198" s="222" t="s">
        <v>55</v>
      </c>
      <c r="B198" s="223"/>
      <c r="C198" s="159">
        <v>56</v>
      </c>
      <c r="D198" s="59"/>
      <c r="E198" s="50">
        <f>56+132</f>
        <v>188</v>
      </c>
      <c r="F198" s="224">
        <v>1</v>
      </c>
      <c r="G198" s="225"/>
      <c r="H198" s="97"/>
      <c r="I198" s="46">
        <f>56+101</f>
        <v>157</v>
      </c>
      <c r="J198" s="224">
        <v>0</v>
      </c>
      <c r="K198" s="225"/>
      <c r="L198" s="97"/>
      <c r="M198" s="50">
        <f>56+98</f>
        <v>154</v>
      </c>
      <c r="N198" s="224">
        <v>0</v>
      </c>
      <c r="O198" s="225"/>
      <c r="P198" s="97"/>
      <c r="Q198" s="50">
        <f>56+168</f>
        <v>224</v>
      </c>
      <c r="R198" s="224">
        <v>1</v>
      </c>
      <c r="S198" s="225"/>
      <c r="T198" s="97"/>
      <c r="U198" s="50">
        <f>56+93</f>
        <v>149</v>
      </c>
      <c r="V198" s="224">
        <v>0</v>
      </c>
      <c r="W198" s="225"/>
      <c r="X198" s="110"/>
      <c r="Y198" s="46">
        <f t="shared" si="12"/>
        <v>872</v>
      </c>
      <c r="Z198" s="73">
        <f t="shared" si="13"/>
        <v>592</v>
      </c>
      <c r="AA198" s="67">
        <f>AVERAGE(E198,I198,M198,Q198,U198)</f>
        <v>174.4</v>
      </c>
      <c r="AB198" s="67">
        <f>AVERAGE(E198,I198,M198,Q198,U198)-C198</f>
        <v>118.4</v>
      </c>
      <c r="AC198" s="220"/>
    </row>
    <row r="199" spans="1:29" s="38" customFormat="1" ht="15.75" customHeight="1">
      <c r="A199" s="222" t="s">
        <v>53</v>
      </c>
      <c r="B199" s="223"/>
      <c r="C199" s="159">
        <v>60</v>
      </c>
      <c r="D199" s="59"/>
      <c r="E199" s="50">
        <f>60+114</f>
        <v>174</v>
      </c>
      <c r="F199" s="226"/>
      <c r="G199" s="227"/>
      <c r="H199" s="98"/>
      <c r="I199" s="46">
        <f>60+100</f>
        <v>160</v>
      </c>
      <c r="J199" s="226"/>
      <c r="K199" s="227"/>
      <c r="L199" s="98"/>
      <c r="M199" s="50">
        <f>60+79</f>
        <v>139</v>
      </c>
      <c r="N199" s="226"/>
      <c r="O199" s="227"/>
      <c r="P199" s="98"/>
      <c r="Q199" s="50">
        <f>60+98</f>
        <v>158</v>
      </c>
      <c r="R199" s="226"/>
      <c r="S199" s="227"/>
      <c r="T199" s="98"/>
      <c r="U199" s="50">
        <f>60+79</f>
        <v>139</v>
      </c>
      <c r="V199" s="226"/>
      <c r="W199" s="227"/>
      <c r="X199" s="111"/>
      <c r="Y199" s="46">
        <f t="shared" si="12"/>
        <v>770</v>
      </c>
      <c r="Z199" s="73">
        <f t="shared" si="13"/>
        <v>470</v>
      </c>
      <c r="AA199" s="67">
        <f>AVERAGE(E199,I199,M199,Q199,U199)</f>
        <v>154</v>
      </c>
      <c r="AB199" s="67">
        <f>AVERAGE(E199,I199,M199,Q199,U199)-C199</f>
        <v>94</v>
      </c>
      <c r="AC199" s="220"/>
    </row>
    <row r="200" spans="1:29" s="38" customFormat="1" ht="15.75" customHeight="1" thickBot="1">
      <c r="A200" s="229" t="s">
        <v>54</v>
      </c>
      <c r="B200" s="230"/>
      <c r="C200" s="160">
        <v>41</v>
      </c>
      <c r="D200" s="60"/>
      <c r="E200" s="51">
        <f>41+131</f>
        <v>172</v>
      </c>
      <c r="F200" s="204"/>
      <c r="G200" s="228"/>
      <c r="H200" s="99"/>
      <c r="I200" s="47">
        <f>41+167</f>
        <v>208</v>
      </c>
      <c r="J200" s="204"/>
      <c r="K200" s="228"/>
      <c r="L200" s="99"/>
      <c r="M200" s="51">
        <f>41+153</f>
        <v>194</v>
      </c>
      <c r="N200" s="204"/>
      <c r="O200" s="228"/>
      <c r="P200" s="99"/>
      <c r="Q200" s="51">
        <f>41+137</f>
        <v>178</v>
      </c>
      <c r="R200" s="204"/>
      <c r="S200" s="228"/>
      <c r="T200" s="99"/>
      <c r="U200" s="51">
        <f>41+111</f>
        <v>152</v>
      </c>
      <c r="V200" s="204"/>
      <c r="W200" s="228"/>
      <c r="X200" s="112"/>
      <c r="Y200" s="47">
        <f t="shared" si="12"/>
        <v>904</v>
      </c>
      <c r="Z200" s="74">
        <f t="shared" si="13"/>
        <v>699</v>
      </c>
      <c r="AA200" s="68">
        <f>AVERAGE(E200,I200,M200,Q200,U200)</f>
        <v>180.8</v>
      </c>
      <c r="AB200" s="68">
        <f>AVERAGE(E200,I200,M200,Q200,U200)-C200</f>
        <v>139.8</v>
      </c>
      <c r="AC200" s="221"/>
    </row>
    <row r="201" spans="1:29" s="38" customFormat="1" ht="36" customHeight="1">
      <c r="A201" s="217" t="s">
        <v>37</v>
      </c>
      <c r="B201" s="218"/>
      <c r="C201" s="163">
        <f>SUM(C202:C204)</f>
        <v>134</v>
      </c>
      <c r="D201" s="93"/>
      <c r="E201" s="48">
        <f>SUM(E202:E204)</f>
        <v>531</v>
      </c>
      <c r="F201" s="48">
        <f>E197</f>
        <v>534</v>
      </c>
      <c r="G201" s="43" t="str">
        <f>A197</f>
        <v>LAJOS 1</v>
      </c>
      <c r="H201" s="101"/>
      <c r="I201" s="48">
        <f>SUM(I202:I204)</f>
        <v>559</v>
      </c>
      <c r="J201" s="48">
        <f>I193</f>
        <v>567</v>
      </c>
      <c r="K201" s="43" t="str">
        <f>A193</f>
        <v>LATESTOIL</v>
      </c>
      <c r="L201" s="96"/>
      <c r="M201" s="49">
        <f>SUM(M202:M204)</f>
        <v>458</v>
      </c>
      <c r="N201" s="48">
        <f>M189</f>
        <v>541</v>
      </c>
      <c r="O201" s="43" t="str">
        <f>A189</f>
        <v>AKAT 2</v>
      </c>
      <c r="P201" s="96"/>
      <c r="Q201" s="49">
        <f>SUM(Q202:Q204)</f>
        <v>534</v>
      </c>
      <c r="R201" s="48">
        <f>Q205</f>
        <v>566</v>
      </c>
      <c r="S201" s="43" t="str">
        <f>A205</f>
        <v>FEB</v>
      </c>
      <c r="T201" s="96"/>
      <c r="U201" s="49">
        <f>SUM(U202:U204)</f>
        <v>521</v>
      </c>
      <c r="V201" s="48">
        <f>U209</f>
        <v>534</v>
      </c>
      <c r="W201" s="43" t="str">
        <f>A209</f>
        <v>FULL-TRADE</v>
      </c>
      <c r="X201" s="109"/>
      <c r="Y201" s="36">
        <f t="shared" si="12"/>
        <v>2603</v>
      </c>
      <c r="Z201" s="75">
        <f t="shared" si="13"/>
        <v>1933</v>
      </c>
      <c r="AA201" s="37">
        <f>AVERAGE(AA202,AA203,AA204)</f>
        <v>173.5333333333333</v>
      </c>
      <c r="AB201" s="37">
        <f>AVERAGE(AB202,AB203,AB204)</f>
        <v>128.86666666666667</v>
      </c>
      <c r="AC201" s="219">
        <f>F202+J202+N202+R202+V202</f>
        <v>0</v>
      </c>
    </row>
    <row r="202" spans="1:29" s="38" customFormat="1" ht="15.75" customHeight="1">
      <c r="A202" s="222" t="s">
        <v>44</v>
      </c>
      <c r="B202" s="223"/>
      <c r="C202" s="159">
        <v>43</v>
      </c>
      <c r="D202" s="59"/>
      <c r="E202" s="50">
        <f>43+141</f>
        <v>184</v>
      </c>
      <c r="F202" s="224">
        <v>0</v>
      </c>
      <c r="G202" s="225"/>
      <c r="H202" s="97"/>
      <c r="I202" s="46">
        <f>43+145</f>
        <v>188</v>
      </c>
      <c r="J202" s="224">
        <v>0</v>
      </c>
      <c r="K202" s="225"/>
      <c r="L202" s="97"/>
      <c r="M202" s="50">
        <f>43+92</f>
        <v>135</v>
      </c>
      <c r="N202" s="224">
        <v>0</v>
      </c>
      <c r="O202" s="225"/>
      <c r="P202" s="97"/>
      <c r="Q202" s="50">
        <f>43+134</f>
        <v>177</v>
      </c>
      <c r="R202" s="224">
        <v>0</v>
      </c>
      <c r="S202" s="225"/>
      <c r="T202" s="97"/>
      <c r="U202" s="50">
        <f>43+108</f>
        <v>151</v>
      </c>
      <c r="V202" s="224">
        <v>0</v>
      </c>
      <c r="W202" s="225"/>
      <c r="X202" s="110"/>
      <c r="Y202" s="46">
        <f t="shared" si="12"/>
        <v>835</v>
      </c>
      <c r="Z202" s="73">
        <f t="shared" si="13"/>
        <v>620</v>
      </c>
      <c r="AA202" s="67">
        <f>AVERAGE(E202,I202,M202,Q202,U202)</f>
        <v>167</v>
      </c>
      <c r="AB202" s="67">
        <f>AVERAGE(E202,I202,M202,Q202,U202)-C202</f>
        <v>124</v>
      </c>
      <c r="AC202" s="220"/>
    </row>
    <row r="203" spans="1:29" s="38" customFormat="1" ht="15.75" customHeight="1">
      <c r="A203" s="222" t="s">
        <v>45</v>
      </c>
      <c r="B203" s="223"/>
      <c r="C203" s="159">
        <v>60</v>
      </c>
      <c r="D203" s="59"/>
      <c r="E203" s="50">
        <f>60+101</f>
        <v>161</v>
      </c>
      <c r="F203" s="226"/>
      <c r="G203" s="227"/>
      <c r="H203" s="98"/>
      <c r="I203" s="46">
        <f>60+121</f>
        <v>181</v>
      </c>
      <c r="J203" s="226"/>
      <c r="K203" s="227"/>
      <c r="L203" s="98"/>
      <c r="M203" s="50">
        <f>60+82</f>
        <v>142</v>
      </c>
      <c r="N203" s="226"/>
      <c r="O203" s="227"/>
      <c r="P203" s="98"/>
      <c r="Q203" s="50">
        <f>60+100</f>
        <v>160</v>
      </c>
      <c r="R203" s="226"/>
      <c r="S203" s="227"/>
      <c r="T203" s="98"/>
      <c r="U203" s="50">
        <f>60+93</f>
        <v>153</v>
      </c>
      <c r="V203" s="226"/>
      <c r="W203" s="227"/>
      <c r="X203" s="111"/>
      <c r="Y203" s="46">
        <f t="shared" si="12"/>
        <v>797</v>
      </c>
      <c r="Z203" s="73">
        <f t="shared" si="13"/>
        <v>497</v>
      </c>
      <c r="AA203" s="67">
        <f>AVERAGE(E203,I203,M203,Q203,U203)</f>
        <v>159.4</v>
      </c>
      <c r="AB203" s="67">
        <f>AVERAGE(E203,I203,M203,Q203,U203)-C203</f>
        <v>99.4</v>
      </c>
      <c r="AC203" s="220"/>
    </row>
    <row r="204" spans="1:30" s="38" customFormat="1" ht="15.75" customHeight="1" thickBot="1">
      <c r="A204" s="229" t="s">
        <v>46</v>
      </c>
      <c r="B204" s="230"/>
      <c r="C204" s="160">
        <v>31</v>
      </c>
      <c r="D204" s="60"/>
      <c r="E204" s="51">
        <f>31+155</f>
        <v>186</v>
      </c>
      <c r="F204" s="204"/>
      <c r="G204" s="228"/>
      <c r="H204" s="99"/>
      <c r="I204" s="47">
        <f>31+159</f>
        <v>190</v>
      </c>
      <c r="J204" s="204"/>
      <c r="K204" s="228"/>
      <c r="L204" s="99"/>
      <c r="M204" s="51">
        <f>31+150</f>
        <v>181</v>
      </c>
      <c r="N204" s="204"/>
      <c r="O204" s="228"/>
      <c r="P204" s="99"/>
      <c r="Q204" s="51">
        <f>31+166</f>
        <v>197</v>
      </c>
      <c r="R204" s="204"/>
      <c r="S204" s="228"/>
      <c r="T204" s="99"/>
      <c r="U204" s="51">
        <f>31+186</f>
        <v>217</v>
      </c>
      <c r="V204" s="204"/>
      <c r="W204" s="228"/>
      <c r="X204" s="112"/>
      <c r="Y204" s="47">
        <f t="shared" si="12"/>
        <v>971</v>
      </c>
      <c r="Z204" s="74">
        <f t="shared" si="13"/>
        <v>816</v>
      </c>
      <c r="AA204" s="68">
        <f>AVERAGE(E204,I204,M204,Q204,U204)</f>
        <v>194.2</v>
      </c>
      <c r="AB204" s="68">
        <f>AVERAGE(E204,I204,M204,Q204,U204)-C204</f>
        <v>163.2</v>
      </c>
      <c r="AC204" s="221"/>
      <c r="AD204" s="44"/>
    </row>
    <row r="205" spans="1:29" s="38" customFormat="1" ht="45">
      <c r="A205" s="234" t="s">
        <v>15</v>
      </c>
      <c r="B205" s="235"/>
      <c r="C205" s="158">
        <f>SUM(C206:C208)</f>
        <v>163</v>
      </c>
      <c r="D205" s="62"/>
      <c r="E205" s="45">
        <f>SUM(E206:E208)</f>
        <v>519</v>
      </c>
      <c r="F205" s="45">
        <f>E193</f>
        <v>573</v>
      </c>
      <c r="G205" s="42" t="str">
        <f>A193</f>
        <v>LATESTOIL</v>
      </c>
      <c r="H205" s="100"/>
      <c r="I205" s="45">
        <f>SUM(I206:I208)</f>
        <v>520</v>
      </c>
      <c r="J205" s="45">
        <f>I189</f>
        <v>538</v>
      </c>
      <c r="K205" s="42" t="str">
        <f>A189</f>
        <v>AKAT 2</v>
      </c>
      <c r="L205" s="103"/>
      <c r="M205" s="69">
        <f>SUM(M206:M208)</f>
        <v>506</v>
      </c>
      <c r="N205" s="45">
        <f>M209</f>
        <v>487</v>
      </c>
      <c r="O205" s="42" t="str">
        <f>A209</f>
        <v>FULL-TRADE</v>
      </c>
      <c r="P205" s="103"/>
      <c r="Q205" s="69">
        <f>SUM(Q206:Q208)</f>
        <v>566</v>
      </c>
      <c r="R205" s="45">
        <f>Q201</f>
        <v>534</v>
      </c>
      <c r="S205" s="42" t="str">
        <f>A201</f>
        <v>VEST-WOOD 2</v>
      </c>
      <c r="T205" s="103"/>
      <c r="U205" s="69">
        <f>SUM(U206:U208)</f>
        <v>582</v>
      </c>
      <c r="V205" s="45">
        <f>U197</f>
        <v>440</v>
      </c>
      <c r="W205" s="42" t="str">
        <f>A197</f>
        <v>LAJOS 1</v>
      </c>
      <c r="X205" s="108"/>
      <c r="Y205" s="36">
        <f t="shared" si="12"/>
        <v>2693</v>
      </c>
      <c r="Z205" s="75">
        <f t="shared" si="13"/>
        <v>1878</v>
      </c>
      <c r="AA205" s="37">
        <f>AVERAGE(AA206,AA207,AA208)</f>
        <v>179.5333333333333</v>
      </c>
      <c r="AB205" s="37">
        <f>AVERAGE(AB206,AB207,AB208)</f>
        <v>125.19999999999999</v>
      </c>
      <c r="AC205" s="219">
        <f>F206+J206+N206+R206+V206</f>
        <v>3</v>
      </c>
    </row>
    <row r="206" spans="1:29" s="38" customFormat="1" ht="15.75" customHeight="1">
      <c r="A206" s="222" t="s">
        <v>47</v>
      </c>
      <c r="B206" s="223"/>
      <c r="C206" s="159">
        <v>60</v>
      </c>
      <c r="D206" s="59"/>
      <c r="E206" s="50">
        <f>60+66</f>
        <v>126</v>
      </c>
      <c r="F206" s="224">
        <v>0</v>
      </c>
      <c r="G206" s="225"/>
      <c r="H206" s="97"/>
      <c r="I206" s="46">
        <f>60+129</f>
        <v>189</v>
      </c>
      <c r="J206" s="224">
        <v>0</v>
      </c>
      <c r="K206" s="225"/>
      <c r="L206" s="97"/>
      <c r="M206" s="50">
        <f>60+121</f>
        <v>181</v>
      </c>
      <c r="N206" s="224">
        <v>1</v>
      </c>
      <c r="O206" s="225"/>
      <c r="P206" s="97"/>
      <c r="Q206" s="50">
        <f>60+135</f>
        <v>195</v>
      </c>
      <c r="R206" s="224">
        <v>1</v>
      </c>
      <c r="S206" s="225"/>
      <c r="T206" s="97"/>
      <c r="U206" s="50">
        <f>60+110</f>
        <v>170</v>
      </c>
      <c r="V206" s="224">
        <v>1</v>
      </c>
      <c r="W206" s="225"/>
      <c r="X206" s="110"/>
      <c r="Y206" s="46">
        <f t="shared" si="12"/>
        <v>861</v>
      </c>
      <c r="Z206" s="73">
        <f t="shared" si="13"/>
        <v>561</v>
      </c>
      <c r="AA206" s="67">
        <f>AVERAGE(E206,I206,M206,Q206,U206)</f>
        <v>172.2</v>
      </c>
      <c r="AB206" s="67">
        <f>AVERAGE(E206,I206,M206,Q206,U206)-C206</f>
        <v>112.19999999999999</v>
      </c>
      <c r="AC206" s="220"/>
    </row>
    <row r="207" spans="1:29" s="38" customFormat="1" ht="15.75" customHeight="1">
      <c r="A207" s="222" t="s">
        <v>48</v>
      </c>
      <c r="B207" s="223"/>
      <c r="C207" s="159">
        <v>60</v>
      </c>
      <c r="D207" s="59"/>
      <c r="E207" s="50">
        <f>60+115</f>
        <v>175</v>
      </c>
      <c r="F207" s="226"/>
      <c r="G207" s="227"/>
      <c r="H207" s="98"/>
      <c r="I207" s="46">
        <f>60+103</f>
        <v>163</v>
      </c>
      <c r="J207" s="226"/>
      <c r="K207" s="227"/>
      <c r="L207" s="98"/>
      <c r="M207" s="50">
        <f>60+86</f>
        <v>146</v>
      </c>
      <c r="N207" s="226"/>
      <c r="O207" s="227"/>
      <c r="P207" s="98"/>
      <c r="Q207" s="50">
        <f>60+121</f>
        <v>181</v>
      </c>
      <c r="R207" s="226"/>
      <c r="S207" s="227"/>
      <c r="T207" s="98"/>
      <c r="U207" s="50">
        <f>60+101</f>
        <v>161</v>
      </c>
      <c r="V207" s="226"/>
      <c r="W207" s="227"/>
      <c r="X207" s="111"/>
      <c r="Y207" s="46">
        <f t="shared" si="12"/>
        <v>826</v>
      </c>
      <c r="Z207" s="73">
        <f t="shared" si="13"/>
        <v>526</v>
      </c>
      <c r="AA207" s="67">
        <f>AVERAGE(E207,I207,M207,Q207,U207)</f>
        <v>165.2</v>
      </c>
      <c r="AB207" s="67">
        <f>AVERAGE(E207,I207,M207,Q207,U207)-C207</f>
        <v>105.19999999999999</v>
      </c>
      <c r="AC207" s="220"/>
    </row>
    <row r="208" spans="1:29" s="38" customFormat="1" ht="15.75" customHeight="1" thickBot="1">
      <c r="A208" s="229" t="s">
        <v>49</v>
      </c>
      <c r="B208" s="230"/>
      <c r="C208" s="160">
        <v>43</v>
      </c>
      <c r="D208" s="60"/>
      <c r="E208" s="66">
        <f>43+175</f>
        <v>218</v>
      </c>
      <c r="F208" s="204"/>
      <c r="G208" s="228"/>
      <c r="H208" s="99"/>
      <c r="I208" s="47">
        <f>43+125</f>
        <v>168</v>
      </c>
      <c r="J208" s="204"/>
      <c r="K208" s="228"/>
      <c r="L208" s="99"/>
      <c r="M208" s="51">
        <f>43+136</f>
        <v>179</v>
      </c>
      <c r="N208" s="204"/>
      <c r="O208" s="228"/>
      <c r="P208" s="99"/>
      <c r="Q208" s="51">
        <f>43+147</f>
        <v>190</v>
      </c>
      <c r="R208" s="204"/>
      <c r="S208" s="228"/>
      <c r="T208" s="99"/>
      <c r="U208" s="51">
        <f>43+208</f>
        <v>251</v>
      </c>
      <c r="V208" s="204"/>
      <c r="W208" s="228"/>
      <c r="X208" s="112"/>
      <c r="Y208" s="47">
        <f t="shared" si="12"/>
        <v>1006</v>
      </c>
      <c r="Z208" s="74">
        <f t="shared" si="13"/>
        <v>791</v>
      </c>
      <c r="AA208" s="68">
        <f>AVERAGE(E208,I208,M208,Q208,U208)</f>
        <v>201.2</v>
      </c>
      <c r="AB208" s="68">
        <f>AVERAGE(E208,I208,M208,Q208,U208)-C208</f>
        <v>158.2</v>
      </c>
      <c r="AC208" s="221"/>
    </row>
    <row r="209" spans="1:29" s="38" customFormat="1" ht="42" customHeight="1">
      <c r="A209" s="217" t="s">
        <v>38</v>
      </c>
      <c r="B209" s="218"/>
      <c r="C209" s="163">
        <f>SUM(C210:C212)</f>
        <v>99</v>
      </c>
      <c r="D209" s="58"/>
      <c r="E209" s="45">
        <f>SUM(E210:E212)</f>
        <v>565</v>
      </c>
      <c r="F209" s="45">
        <f>E189</f>
        <v>486</v>
      </c>
      <c r="G209" s="42" t="str">
        <f>A189</f>
        <v>AKAT 2</v>
      </c>
      <c r="H209" s="100"/>
      <c r="I209" s="45">
        <f>SUM(I210:I212)</f>
        <v>561</v>
      </c>
      <c r="J209" s="45">
        <f>I197</f>
        <v>525</v>
      </c>
      <c r="K209" s="42" t="str">
        <f>A197</f>
        <v>LAJOS 1</v>
      </c>
      <c r="L209" s="102"/>
      <c r="M209" s="49">
        <f>SUM(M210:M212)</f>
        <v>487</v>
      </c>
      <c r="N209" s="45">
        <f>M205</f>
        <v>506</v>
      </c>
      <c r="O209" s="42" t="str">
        <f>A205</f>
        <v>FEB</v>
      </c>
      <c r="P209" s="102"/>
      <c r="Q209" s="49">
        <f>SUM(Q210:Q212)</f>
        <v>590</v>
      </c>
      <c r="R209" s="45">
        <f>Q193</f>
        <v>572</v>
      </c>
      <c r="S209" s="42" t="str">
        <f>A193</f>
        <v>LATESTOIL</v>
      </c>
      <c r="T209" s="102"/>
      <c r="U209" s="49">
        <f>SUM(U210:U212)</f>
        <v>534</v>
      </c>
      <c r="V209" s="45">
        <f>U201</f>
        <v>521</v>
      </c>
      <c r="W209" s="42" t="str">
        <f>A201</f>
        <v>VEST-WOOD 2</v>
      </c>
      <c r="X209" s="108"/>
      <c r="Y209" s="36">
        <f t="shared" si="12"/>
        <v>2737</v>
      </c>
      <c r="Z209" s="75">
        <f t="shared" si="13"/>
        <v>2242</v>
      </c>
      <c r="AA209" s="37">
        <f>AVERAGE(AA210,AA211,AA212)</f>
        <v>182.4666666666667</v>
      </c>
      <c r="AB209" s="37">
        <f>AVERAGE(AB210,AB211,AB212)</f>
        <v>149.46666666666667</v>
      </c>
      <c r="AC209" s="219">
        <f>F210+J210+N210+R210+V210</f>
        <v>4</v>
      </c>
    </row>
    <row r="210" spans="1:29" s="38" customFormat="1" ht="15.75" customHeight="1">
      <c r="A210" s="222" t="s">
        <v>50</v>
      </c>
      <c r="B210" s="223"/>
      <c r="C210" s="159">
        <v>22</v>
      </c>
      <c r="D210" s="59"/>
      <c r="E210" s="50">
        <f>22+185</f>
        <v>207</v>
      </c>
      <c r="F210" s="224">
        <v>1</v>
      </c>
      <c r="G210" s="225"/>
      <c r="H210" s="97"/>
      <c r="I210" s="46">
        <f>22+180</f>
        <v>202</v>
      </c>
      <c r="J210" s="224">
        <v>1</v>
      </c>
      <c r="K210" s="225"/>
      <c r="L210" s="97"/>
      <c r="M210" s="50">
        <f>22+157</f>
        <v>179</v>
      </c>
      <c r="N210" s="224">
        <v>0</v>
      </c>
      <c r="O210" s="225"/>
      <c r="P210" s="97"/>
      <c r="Q210" s="50">
        <f>22+177</f>
        <v>199</v>
      </c>
      <c r="R210" s="224">
        <v>1</v>
      </c>
      <c r="S210" s="225"/>
      <c r="T210" s="97"/>
      <c r="U210" s="50">
        <f>22+158</f>
        <v>180</v>
      </c>
      <c r="V210" s="224">
        <v>1</v>
      </c>
      <c r="W210" s="225"/>
      <c r="X210" s="110"/>
      <c r="Y210" s="46">
        <f t="shared" si="12"/>
        <v>967</v>
      </c>
      <c r="Z210" s="73">
        <f t="shared" si="13"/>
        <v>857</v>
      </c>
      <c r="AA210" s="67">
        <f>AVERAGE(E210,I210,M210,Q210,U210)</f>
        <v>193.4</v>
      </c>
      <c r="AB210" s="67">
        <f>AVERAGE(E210,I210,M210,Q210,U210)-C210</f>
        <v>171.4</v>
      </c>
      <c r="AC210" s="220"/>
    </row>
    <row r="211" spans="1:29" s="38" customFormat="1" ht="15.75" customHeight="1">
      <c r="A211" s="222" t="s">
        <v>51</v>
      </c>
      <c r="B211" s="223"/>
      <c r="C211" s="159">
        <v>50</v>
      </c>
      <c r="D211" s="59"/>
      <c r="E211" s="50">
        <f>50+139</f>
        <v>189</v>
      </c>
      <c r="F211" s="226"/>
      <c r="G211" s="227"/>
      <c r="H211" s="98"/>
      <c r="I211" s="46">
        <f>50+136</f>
        <v>186</v>
      </c>
      <c r="J211" s="226"/>
      <c r="K211" s="227"/>
      <c r="L211" s="98"/>
      <c r="M211" s="50">
        <f>50+126</f>
        <v>176</v>
      </c>
      <c r="N211" s="226"/>
      <c r="O211" s="227"/>
      <c r="P211" s="98"/>
      <c r="Q211" s="50">
        <f>50+178</f>
        <v>228</v>
      </c>
      <c r="R211" s="226"/>
      <c r="S211" s="227"/>
      <c r="T211" s="98"/>
      <c r="U211" s="50">
        <f>50+115</f>
        <v>165</v>
      </c>
      <c r="V211" s="226"/>
      <c r="W211" s="227"/>
      <c r="X211" s="111"/>
      <c r="Y211" s="46">
        <f t="shared" si="12"/>
        <v>944</v>
      </c>
      <c r="Z211" s="73">
        <f t="shared" si="13"/>
        <v>694</v>
      </c>
      <c r="AA211" s="67">
        <f>AVERAGE(E211,I211,M211,Q211,U211)</f>
        <v>188.8</v>
      </c>
      <c r="AB211" s="67">
        <f>AVERAGE(E211,I211,M211,Q211,U211)-C211</f>
        <v>138.8</v>
      </c>
      <c r="AC211" s="220"/>
    </row>
    <row r="212" spans="1:29" s="38" customFormat="1" ht="15.75" customHeight="1" thickBot="1">
      <c r="A212" s="229" t="s">
        <v>52</v>
      </c>
      <c r="B212" s="230"/>
      <c r="C212" s="160">
        <v>27</v>
      </c>
      <c r="D212" s="60"/>
      <c r="E212" s="51">
        <f>27+142</f>
        <v>169</v>
      </c>
      <c r="F212" s="204"/>
      <c r="G212" s="228"/>
      <c r="H212" s="99"/>
      <c r="I212" s="47">
        <f>27+146</f>
        <v>173</v>
      </c>
      <c r="J212" s="204"/>
      <c r="K212" s="228"/>
      <c r="L212" s="99"/>
      <c r="M212" s="47">
        <f>27+105</f>
        <v>132</v>
      </c>
      <c r="N212" s="204"/>
      <c r="O212" s="228"/>
      <c r="P212" s="99"/>
      <c r="Q212" s="51">
        <f>27+136</f>
        <v>163</v>
      </c>
      <c r="R212" s="204"/>
      <c r="S212" s="228"/>
      <c r="T212" s="99"/>
      <c r="U212" s="51">
        <f>27+162</f>
        <v>189</v>
      </c>
      <c r="V212" s="204"/>
      <c r="W212" s="228"/>
      <c r="X212" s="112"/>
      <c r="Y212" s="47">
        <f t="shared" si="12"/>
        <v>826</v>
      </c>
      <c r="Z212" s="74">
        <f t="shared" si="13"/>
        <v>691</v>
      </c>
      <c r="AA212" s="68">
        <f>AVERAGE(E212,I212,M212,Q212,U212)</f>
        <v>165.2</v>
      </c>
      <c r="AB212" s="68">
        <f>AVERAGE(E212,I212,M212,Q212,U212)-C212</f>
        <v>138.2</v>
      </c>
      <c r="AC212" s="221"/>
    </row>
  </sheetData>
  <mergeCells count="511">
    <mergeCell ref="A57:B57"/>
    <mergeCell ref="AC57:AC60"/>
    <mergeCell ref="A58:B58"/>
    <mergeCell ref="F58:G60"/>
    <mergeCell ref="J58:K60"/>
    <mergeCell ref="N58:O60"/>
    <mergeCell ref="R58:S60"/>
    <mergeCell ref="V58:W60"/>
    <mergeCell ref="A59:B59"/>
    <mergeCell ref="A60:B60"/>
    <mergeCell ref="A53:B53"/>
    <mergeCell ref="AC53:AC56"/>
    <mergeCell ref="A54:B54"/>
    <mergeCell ref="F54:G56"/>
    <mergeCell ref="J54:K56"/>
    <mergeCell ref="N54:O56"/>
    <mergeCell ref="R54:S56"/>
    <mergeCell ref="V54:W56"/>
    <mergeCell ref="A55:B55"/>
    <mergeCell ref="A56:B56"/>
    <mergeCell ref="A49:B49"/>
    <mergeCell ref="AC49:AC52"/>
    <mergeCell ref="A50:B50"/>
    <mergeCell ref="F50:G52"/>
    <mergeCell ref="J50:K52"/>
    <mergeCell ref="N50:O52"/>
    <mergeCell ref="R50:S52"/>
    <mergeCell ref="V50:W52"/>
    <mergeCell ref="A51:B51"/>
    <mergeCell ref="A52:B52"/>
    <mergeCell ref="A45:B45"/>
    <mergeCell ref="AC45:AC48"/>
    <mergeCell ref="A46:B46"/>
    <mergeCell ref="F46:G48"/>
    <mergeCell ref="J46:K48"/>
    <mergeCell ref="N46:O48"/>
    <mergeCell ref="R46:S48"/>
    <mergeCell ref="V46:W48"/>
    <mergeCell ref="A47:B47"/>
    <mergeCell ref="A48:B48"/>
    <mergeCell ref="A41:B41"/>
    <mergeCell ref="AC41:AC44"/>
    <mergeCell ref="A42:B42"/>
    <mergeCell ref="F42:G44"/>
    <mergeCell ref="J42:K44"/>
    <mergeCell ref="N42:O44"/>
    <mergeCell ref="R42:S44"/>
    <mergeCell ref="V42:W44"/>
    <mergeCell ref="A43:B43"/>
    <mergeCell ref="A44:B44"/>
    <mergeCell ref="A37:B37"/>
    <mergeCell ref="AC37:AC40"/>
    <mergeCell ref="A38:B38"/>
    <mergeCell ref="F38:G40"/>
    <mergeCell ref="J38:K40"/>
    <mergeCell ref="N38:O40"/>
    <mergeCell ref="R38:S40"/>
    <mergeCell ref="V38:W40"/>
    <mergeCell ref="A39:B39"/>
    <mergeCell ref="A40:B40"/>
    <mergeCell ref="V35:W35"/>
    <mergeCell ref="A36:B36"/>
    <mergeCell ref="F36:G36"/>
    <mergeCell ref="J36:K36"/>
    <mergeCell ref="N36:O36"/>
    <mergeCell ref="R36:S36"/>
    <mergeCell ref="V36:W36"/>
    <mergeCell ref="A31:U33"/>
    <mergeCell ref="A35:B35"/>
    <mergeCell ref="F35:G35"/>
    <mergeCell ref="J35:K35"/>
    <mergeCell ref="N35:O35"/>
    <mergeCell ref="R35:S35"/>
    <mergeCell ref="A120:B120"/>
    <mergeCell ref="AC117:AC120"/>
    <mergeCell ref="F118:G120"/>
    <mergeCell ref="J118:K120"/>
    <mergeCell ref="N118:O120"/>
    <mergeCell ref="R118:S120"/>
    <mergeCell ref="V118:W120"/>
    <mergeCell ref="AC113:AC116"/>
    <mergeCell ref="F114:G116"/>
    <mergeCell ref="J114:K116"/>
    <mergeCell ref="N114:O116"/>
    <mergeCell ref="R114:S116"/>
    <mergeCell ref="V114:W116"/>
    <mergeCell ref="AC109:AC112"/>
    <mergeCell ref="F110:G112"/>
    <mergeCell ref="J110:K112"/>
    <mergeCell ref="N110:O112"/>
    <mergeCell ref="R110:S112"/>
    <mergeCell ref="V110:W112"/>
    <mergeCell ref="AC105:AC108"/>
    <mergeCell ref="F106:G108"/>
    <mergeCell ref="J106:K108"/>
    <mergeCell ref="N106:O108"/>
    <mergeCell ref="R106:S108"/>
    <mergeCell ref="V106:W108"/>
    <mergeCell ref="AC101:AC104"/>
    <mergeCell ref="F102:G104"/>
    <mergeCell ref="J102:K104"/>
    <mergeCell ref="N102:O104"/>
    <mergeCell ref="R102:S104"/>
    <mergeCell ref="V102:W104"/>
    <mergeCell ref="V96:W96"/>
    <mergeCell ref="AC97:AC100"/>
    <mergeCell ref="F98:G100"/>
    <mergeCell ref="J98:K100"/>
    <mergeCell ref="N98:O100"/>
    <mergeCell ref="R98:S100"/>
    <mergeCell ref="V98:W100"/>
    <mergeCell ref="A91:U93"/>
    <mergeCell ref="F96:G96"/>
    <mergeCell ref="J96:K96"/>
    <mergeCell ref="N96:O96"/>
    <mergeCell ref="R96:S96"/>
    <mergeCell ref="A96:B96"/>
    <mergeCell ref="F95:G95"/>
    <mergeCell ref="J95:K95"/>
    <mergeCell ref="N95:O95"/>
    <mergeCell ref="R95:S95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7:B97"/>
    <mergeCell ref="A98:B98"/>
    <mergeCell ref="A99:B99"/>
    <mergeCell ref="A95:B95"/>
    <mergeCell ref="V95:W95"/>
    <mergeCell ref="A148:B148"/>
    <mergeCell ref="AC148:AC151"/>
    <mergeCell ref="A149:B149"/>
    <mergeCell ref="F149:G151"/>
    <mergeCell ref="J149:K151"/>
    <mergeCell ref="N149:O151"/>
    <mergeCell ref="R149:S151"/>
    <mergeCell ref="V149:W151"/>
    <mergeCell ref="A150:B150"/>
    <mergeCell ref="A151:B151"/>
    <mergeCell ref="A144:B144"/>
    <mergeCell ref="AC144:AC147"/>
    <mergeCell ref="A145:B145"/>
    <mergeCell ref="F145:G147"/>
    <mergeCell ref="J145:K147"/>
    <mergeCell ref="N145:O147"/>
    <mergeCell ref="R145:S147"/>
    <mergeCell ref="V145:W147"/>
    <mergeCell ref="A146:B146"/>
    <mergeCell ref="A147:B147"/>
    <mergeCell ref="A140:B140"/>
    <mergeCell ref="AC140:AC143"/>
    <mergeCell ref="A141:B141"/>
    <mergeCell ref="F141:G143"/>
    <mergeCell ref="J141:K143"/>
    <mergeCell ref="N141:O143"/>
    <mergeCell ref="R141:S143"/>
    <mergeCell ref="V141:W143"/>
    <mergeCell ref="A142:B142"/>
    <mergeCell ref="A143:B143"/>
    <mergeCell ref="A136:B136"/>
    <mergeCell ref="AC136:AC139"/>
    <mergeCell ref="A137:B137"/>
    <mergeCell ref="F137:G139"/>
    <mergeCell ref="J137:K139"/>
    <mergeCell ref="N137:O139"/>
    <mergeCell ref="R137:S139"/>
    <mergeCell ref="V137:W139"/>
    <mergeCell ref="A138:B138"/>
    <mergeCell ref="A139:B139"/>
    <mergeCell ref="A132:B132"/>
    <mergeCell ref="AC132:AC135"/>
    <mergeCell ref="A133:B133"/>
    <mergeCell ref="F133:G135"/>
    <mergeCell ref="J133:K135"/>
    <mergeCell ref="N133:O135"/>
    <mergeCell ref="R133:S135"/>
    <mergeCell ref="V133:W135"/>
    <mergeCell ref="A134:B134"/>
    <mergeCell ref="A135:B135"/>
    <mergeCell ref="A128:B128"/>
    <mergeCell ref="AC128:AC131"/>
    <mergeCell ref="A129:B129"/>
    <mergeCell ref="F129:G131"/>
    <mergeCell ref="J129:K131"/>
    <mergeCell ref="N129:O131"/>
    <mergeCell ref="R129:S131"/>
    <mergeCell ref="V129:W131"/>
    <mergeCell ref="A130:B130"/>
    <mergeCell ref="A131:B131"/>
    <mergeCell ref="V126:W126"/>
    <mergeCell ref="A127:B127"/>
    <mergeCell ref="F127:G127"/>
    <mergeCell ref="J127:K127"/>
    <mergeCell ref="N127:O127"/>
    <mergeCell ref="R127:S127"/>
    <mergeCell ref="V127:W127"/>
    <mergeCell ref="A122:U124"/>
    <mergeCell ref="A126:B126"/>
    <mergeCell ref="F126:G126"/>
    <mergeCell ref="J126:K126"/>
    <mergeCell ref="N126:O126"/>
    <mergeCell ref="R126:S126"/>
    <mergeCell ref="V187:W187"/>
    <mergeCell ref="F188:G188"/>
    <mergeCell ref="J188:K188"/>
    <mergeCell ref="N188:O188"/>
    <mergeCell ref="R188:S188"/>
    <mergeCell ref="V188:W188"/>
    <mergeCell ref="F187:G187"/>
    <mergeCell ref="J187:K187"/>
    <mergeCell ref="N187:O187"/>
    <mergeCell ref="R187:S187"/>
    <mergeCell ref="AC189:AC192"/>
    <mergeCell ref="F190:G192"/>
    <mergeCell ref="J190:K192"/>
    <mergeCell ref="N190:O192"/>
    <mergeCell ref="R190:S192"/>
    <mergeCell ref="V190:W192"/>
    <mergeCell ref="AC193:AC196"/>
    <mergeCell ref="F194:G196"/>
    <mergeCell ref="J194:K196"/>
    <mergeCell ref="N194:O196"/>
    <mergeCell ref="R194:S196"/>
    <mergeCell ref="V194:W196"/>
    <mergeCell ref="A197:B197"/>
    <mergeCell ref="A192:B192"/>
    <mergeCell ref="A193:B193"/>
    <mergeCell ref="A196:B196"/>
    <mergeCell ref="A195:B195"/>
    <mergeCell ref="A194:B194"/>
    <mergeCell ref="A201:B201"/>
    <mergeCell ref="AC197:AC200"/>
    <mergeCell ref="A198:B198"/>
    <mergeCell ref="F198:G200"/>
    <mergeCell ref="J198:K200"/>
    <mergeCell ref="N198:O200"/>
    <mergeCell ref="R198:S200"/>
    <mergeCell ref="V198:W200"/>
    <mergeCell ref="A199:B199"/>
    <mergeCell ref="A200:B200"/>
    <mergeCell ref="A205:B205"/>
    <mergeCell ref="AC201:AC204"/>
    <mergeCell ref="A202:B202"/>
    <mergeCell ref="F202:G204"/>
    <mergeCell ref="J202:K204"/>
    <mergeCell ref="N202:O204"/>
    <mergeCell ref="R202:S204"/>
    <mergeCell ref="V202:W204"/>
    <mergeCell ref="A203:B203"/>
    <mergeCell ref="A204:B204"/>
    <mergeCell ref="A209:B209"/>
    <mergeCell ref="AC205:AC208"/>
    <mergeCell ref="A206:B206"/>
    <mergeCell ref="F206:G208"/>
    <mergeCell ref="J206:K208"/>
    <mergeCell ref="N206:O208"/>
    <mergeCell ref="R206:S208"/>
    <mergeCell ref="V206:W208"/>
    <mergeCell ref="A207:B207"/>
    <mergeCell ref="A208:B208"/>
    <mergeCell ref="A184:U185"/>
    <mergeCell ref="AC209:AC212"/>
    <mergeCell ref="A210:B210"/>
    <mergeCell ref="F210:G212"/>
    <mergeCell ref="J210:K212"/>
    <mergeCell ref="N210:O212"/>
    <mergeCell ref="R210:S212"/>
    <mergeCell ref="V210:W212"/>
    <mergeCell ref="A211:B211"/>
    <mergeCell ref="A212:B212"/>
    <mergeCell ref="A191:B191"/>
    <mergeCell ref="A190:B190"/>
    <mergeCell ref="A188:B188"/>
    <mergeCell ref="A187:B187"/>
    <mergeCell ref="A189:B189"/>
    <mergeCell ref="A154:U155"/>
    <mergeCell ref="A157:B157"/>
    <mergeCell ref="F157:G157"/>
    <mergeCell ref="J157:K157"/>
    <mergeCell ref="N157:O157"/>
    <mergeCell ref="R157:S157"/>
    <mergeCell ref="V157:W157"/>
    <mergeCell ref="A158:B158"/>
    <mergeCell ref="F158:G158"/>
    <mergeCell ref="J158:K158"/>
    <mergeCell ref="N158:O158"/>
    <mergeCell ref="R158:S158"/>
    <mergeCell ref="V158:W158"/>
    <mergeCell ref="A159:B159"/>
    <mergeCell ref="AC159:AC162"/>
    <mergeCell ref="A160:B160"/>
    <mergeCell ref="F160:G162"/>
    <mergeCell ref="J160:K162"/>
    <mergeCell ref="N160:O162"/>
    <mergeCell ref="R160:S162"/>
    <mergeCell ref="V160:W162"/>
    <mergeCell ref="A161:B161"/>
    <mergeCell ref="A162:B162"/>
    <mergeCell ref="A163:B163"/>
    <mergeCell ref="AC163:AC166"/>
    <mergeCell ref="A164:B164"/>
    <mergeCell ref="F164:G166"/>
    <mergeCell ref="J164:K166"/>
    <mergeCell ref="N164:O166"/>
    <mergeCell ref="R164:S166"/>
    <mergeCell ref="V164:W166"/>
    <mergeCell ref="A165:B165"/>
    <mergeCell ref="A166:B166"/>
    <mergeCell ref="A167:B167"/>
    <mergeCell ref="AC167:AC170"/>
    <mergeCell ref="A168:B168"/>
    <mergeCell ref="F168:G170"/>
    <mergeCell ref="J168:K170"/>
    <mergeCell ref="N168:O170"/>
    <mergeCell ref="R168:S170"/>
    <mergeCell ref="V168:W170"/>
    <mergeCell ref="A169:B169"/>
    <mergeCell ref="A170:B170"/>
    <mergeCell ref="A171:B171"/>
    <mergeCell ref="AC171:AC174"/>
    <mergeCell ref="A172:B172"/>
    <mergeCell ref="F172:G174"/>
    <mergeCell ref="J172:K174"/>
    <mergeCell ref="N172:O174"/>
    <mergeCell ref="R172:S174"/>
    <mergeCell ref="V172:W174"/>
    <mergeCell ref="A173:B173"/>
    <mergeCell ref="A174:B174"/>
    <mergeCell ref="A175:B175"/>
    <mergeCell ref="AC175:AC178"/>
    <mergeCell ref="A176:B176"/>
    <mergeCell ref="F176:G178"/>
    <mergeCell ref="J176:K178"/>
    <mergeCell ref="N176:O178"/>
    <mergeCell ref="R176:S178"/>
    <mergeCell ref="V176:W178"/>
    <mergeCell ref="A177:B177"/>
    <mergeCell ref="A178:B178"/>
    <mergeCell ref="A179:B179"/>
    <mergeCell ref="AC179:AC182"/>
    <mergeCell ref="A180:B180"/>
    <mergeCell ref="F180:G182"/>
    <mergeCell ref="J180:K182"/>
    <mergeCell ref="N180:O182"/>
    <mergeCell ref="R180:S182"/>
    <mergeCell ref="V180:W182"/>
    <mergeCell ref="A181:B181"/>
    <mergeCell ref="A182:B182"/>
    <mergeCell ref="A61:U63"/>
    <mergeCell ref="A65:B65"/>
    <mergeCell ref="F65:G65"/>
    <mergeCell ref="J65:K65"/>
    <mergeCell ref="N65:O65"/>
    <mergeCell ref="R65:S65"/>
    <mergeCell ref="V65:W65"/>
    <mergeCell ref="A66:B66"/>
    <mergeCell ref="F66:G66"/>
    <mergeCell ref="J66:K66"/>
    <mergeCell ref="N66:O66"/>
    <mergeCell ref="R66:S66"/>
    <mergeCell ref="V66:W66"/>
    <mergeCell ref="A67:B67"/>
    <mergeCell ref="AC67:AC70"/>
    <mergeCell ref="A68:B68"/>
    <mergeCell ref="F68:G70"/>
    <mergeCell ref="J68:K70"/>
    <mergeCell ref="N68:O70"/>
    <mergeCell ref="R68:S70"/>
    <mergeCell ref="V68:W70"/>
    <mergeCell ref="A69:B69"/>
    <mergeCell ref="A70:B70"/>
    <mergeCell ref="A71:B71"/>
    <mergeCell ref="AC71:AC74"/>
    <mergeCell ref="A72:B72"/>
    <mergeCell ref="F72:G74"/>
    <mergeCell ref="J72:K74"/>
    <mergeCell ref="N72:O74"/>
    <mergeCell ref="R72:S74"/>
    <mergeCell ref="V72:W74"/>
    <mergeCell ref="A73:B73"/>
    <mergeCell ref="A74:B74"/>
    <mergeCell ref="A75:B75"/>
    <mergeCell ref="AC75:AC78"/>
    <mergeCell ref="A76:B76"/>
    <mergeCell ref="F76:G78"/>
    <mergeCell ref="J76:K78"/>
    <mergeCell ref="N76:O78"/>
    <mergeCell ref="R76:S78"/>
    <mergeCell ref="V76:W78"/>
    <mergeCell ref="A77:B77"/>
    <mergeCell ref="A78:B78"/>
    <mergeCell ref="A79:B79"/>
    <mergeCell ref="AC79:AC82"/>
    <mergeCell ref="A80:B80"/>
    <mergeCell ref="F80:G82"/>
    <mergeCell ref="J80:K82"/>
    <mergeCell ref="N80:O82"/>
    <mergeCell ref="R80:S82"/>
    <mergeCell ref="V80:W82"/>
    <mergeCell ref="A81:B81"/>
    <mergeCell ref="A82:B82"/>
    <mergeCell ref="A83:B83"/>
    <mergeCell ref="AC83:AC86"/>
    <mergeCell ref="A84:B84"/>
    <mergeCell ref="F84:G86"/>
    <mergeCell ref="J84:K86"/>
    <mergeCell ref="N84:O86"/>
    <mergeCell ref="R84:S86"/>
    <mergeCell ref="V84:W86"/>
    <mergeCell ref="A85:B85"/>
    <mergeCell ref="A86:B86"/>
    <mergeCell ref="A87:B87"/>
    <mergeCell ref="AC87:AC90"/>
    <mergeCell ref="A88:B88"/>
    <mergeCell ref="F88:G90"/>
    <mergeCell ref="J88:K90"/>
    <mergeCell ref="N88:O90"/>
    <mergeCell ref="R88:S90"/>
    <mergeCell ref="V88:W90"/>
    <mergeCell ref="A89:B89"/>
    <mergeCell ref="A90:B90"/>
    <mergeCell ref="A1:U3"/>
    <mergeCell ref="A5:B5"/>
    <mergeCell ref="F5:G5"/>
    <mergeCell ref="J5:K5"/>
    <mergeCell ref="N5:O5"/>
    <mergeCell ref="R5:S5"/>
    <mergeCell ref="V5:W5"/>
    <mergeCell ref="A6:B6"/>
    <mergeCell ref="F6:G6"/>
    <mergeCell ref="J6:K6"/>
    <mergeCell ref="N6:O6"/>
    <mergeCell ref="R6:S6"/>
    <mergeCell ref="V6:W6"/>
    <mergeCell ref="A7:B7"/>
    <mergeCell ref="AC7:AC10"/>
    <mergeCell ref="A8:B8"/>
    <mergeCell ref="F8:G10"/>
    <mergeCell ref="J8:K10"/>
    <mergeCell ref="N8:O10"/>
    <mergeCell ref="R8:S10"/>
    <mergeCell ref="V8:W10"/>
    <mergeCell ref="A9:B9"/>
    <mergeCell ref="A10:B10"/>
    <mergeCell ref="A11:B11"/>
    <mergeCell ref="AC11:AC14"/>
    <mergeCell ref="A12:B12"/>
    <mergeCell ref="F12:G14"/>
    <mergeCell ref="J12:K14"/>
    <mergeCell ref="N12:O14"/>
    <mergeCell ref="R12:S14"/>
    <mergeCell ref="V12:W14"/>
    <mergeCell ref="A13:B13"/>
    <mergeCell ref="A14:B14"/>
    <mergeCell ref="A15:B15"/>
    <mergeCell ref="AC15:AC18"/>
    <mergeCell ref="A16:B16"/>
    <mergeCell ref="F16:G18"/>
    <mergeCell ref="J16:K18"/>
    <mergeCell ref="N16:O18"/>
    <mergeCell ref="R16:S18"/>
    <mergeCell ref="V16:W18"/>
    <mergeCell ref="A17:B17"/>
    <mergeCell ref="A18:B18"/>
    <mergeCell ref="A19:B19"/>
    <mergeCell ref="AC19:AC22"/>
    <mergeCell ref="A20:B20"/>
    <mergeCell ref="F20:G22"/>
    <mergeCell ref="J20:K22"/>
    <mergeCell ref="N20:O22"/>
    <mergeCell ref="R20:S22"/>
    <mergeCell ref="V20:W22"/>
    <mergeCell ref="A21:B21"/>
    <mergeCell ref="A22:B22"/>
    <mergeCell ref="A23:B23"/>
    <mergeCell ref="AC23:AC26"/>
    <mergeCell ref="A24:B24"/>
    <mergeCell ref="F24:G26"/>
    <mergeCell ref="J24:K26"/>
    <mergeCell ref="N24:O26"/>
    <mergeCell ref="R24:S26"/>
    <mergeCell ref="V24:W26"/>
    <mergeCell ref="A25:B25"/>
    <mergeCell ref="A26:B26"/>
    <mergeCell ref="A27:B27"/>
    <mergeCell ref="AC27:AC30"/>
    <mergeCell ref="A28:B28"/>
    <mergeCell ref="F28:G30"/>
    <mergeCell ref="J28:K30"/>
    <mergeCell ref="N28:O30"/>
    <mergeCell ref="R28:S30"/>
    <mergeCell ref="V28:W30"/>
    <mergeCell ref="A29:B29"/>
    <mergeCell ref="A30:B30"/>
  </mergeCells>
  <conditionalFormatting sqref="AA206:AA208 AA194:AA196 AA198:AA200 AA202:AA204 AA210:AA212 C206:X208 C210:Y212 C202:Y204 C198:Y200 C194:Y196 C190:Y192 AA190:AA192 Y205:Y208 Z189:Z212 AA176:AA178 AA164:AA166 AA168:AA170 AA172:AA174 AA180:AA182 C168:Y170 C172:X174 C164:Y166 C160:Y162 C176:X178 Z159:Z182 AA160:AA162 Y172:Y178 C180:Y182 AA145:AA147 AA133:AA135 AA137:AA139 AA141:AA143 AA149:AA151 C133:Y135 C141:X143 C137:Y139 C129:Y131 C145:X147 Z128:Z151 AA129:AA131 Y141:Y147 C149:Y151 AA114:AA116 AA102:AA104 AA106:AA108 AA110:AA112 AA118:AA120 C110:X112 C98:Y100 C114:X116 C106:Y108 C102:Y104 Z97:Z120 AA98:AA100 Y110:Y116 C118:Y120 AA84:AA86 AA72:AA74 AA76:AA78 AA80:AA82 AA88:AA90 C76:Y78 C84:X86 C80:X82 C72:Y74 C68:Y70 Z67:Z90 AA68:AA70 Y80:Y86 C88:Y90 AA54:AA56 AA42:AA44 AA46:AA48 AA50:AA52 AA58:AA60 C46:Y48 C54:X56 C50:X52 C38:Y40 C42:Y44 Z37:Z60 AA38:AA40 Y50:Y56 J41 C58:Y60 AA24:AA26 AA12:AA14 AA16:AA18 AA20:AA22 AA28:AA30 C12:Y14 C20:X22 C16:Y18 C24:X26 C8:Y10 Z7:Z30 AA8:AA10 Y20:Y26 J11 C28:Y30">
    <cfRule type="cellIs" priority="1" dxfId="6" operator="between" stopIfTrue="1">
      <formula>200</formula>
      <formula>300</formula>
    </cfRule>
  </conditionalFormatting>
  <printOptions/>
  <pageMargins left="0.38" right="0.46" top="1" bottom="1" header="0.5" footer="0.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heli</cp:lastModifiedBy>
  <cp:lastPrinted>2003-10-15T12:07:51Z</cp:lastPrinted>
  <dcterms:created xsi:type="dcterms:W3CDTF">2003-09-15T11:33:31Z</dcterms:created>
  <dcterms:modified xsi:type="dcterms:W3CDTF">2003-12-12T19:15:21Z</dcterms:modified>
  <cp:category/>
  <cp:version/>
  <cp:contentType/>
  <cp:contentStatus/>
</cp:coreProperties>
</file>